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10365" activeTab="0"/>
  </bookViews>
  <sheets>
    <sheet name="CADOLIVE" sheetId="1" r:id="rId1"/>
    <sheet name="DESTROUSSEdet" sheetId="2" state="hidden" r:id="rId2"/>
    <sheet name="Feuil1" sheetId="3" r:id="rId3"/>
  </sheets>
  <definedNames>
    <definedName name="C_1_2" localSheetId="0">'CADOLIVE'!$3:$3</definedName>
    <definedName name="Comment" localSheetId="0">'CADOLIVE'!$D$1</definedName>
    <definedName name="DateLieu" localSheetId="0">'CADOLIVE'!$D$1649</definedName>
    <definedName name="Desi" localSheetId="0">'CADOLIVE'!$D:$D</definedName>
    <definedName name="EURO">6.55957</definedName>
    <definedName name="Headers" localSheetId="0">'CADOLIVE'!$2:$2</definedName>
    <definedName name="HT_0_HT02" localSheetId="0">'CADOLIVE'!$1646:$1646</definedName>
    <definedName name="HT_1_HT01" localSheetId="0">'CADOLIVE'!$1644:$1644</definedName>
    <definedName name="L_0_1063" localSheetId="0">'CADOLIVE'!$1648:$1648</definedName>
    <definedName name="L_0_1064" localSheetId="0">'CADOLIVE'!$1649:$1649</definedName>
    <definedName name="L_0_1065" localSheetId="0">'CADOLIVE'!$1650:$1650</definedName>
    <definedName name="L_2_10" localSheetId="0">'CADOLIVE'!$12:$12</definedName>
    <definedName name="L_2_100" localSheetId="0">'CADOLIVE'!$173:$173</definedName>
    <definedName name="L_2_1000" localSheetId="0">'CADOLIVE'!$1496:$1496</definedName>
    <definedName name="L_2_1001" localSheetId="0">'CADOLIVE'!$1497:$1497</definedName>
    <definedName name="L_2_1002" localSheetId="0">'CADOLIVE'!$1502:$1502</definedName>
    <definedName name="L_2_1003" localSheetId="0">'CADOLIVE'!$1505:$1505</definedName>
    <definedName name="L_2_1004" localSheetId="0">'CADOLIVE'!$1506:$1506</definedName>
    <definedName name="L_2_1005" localSheetId="0">'CADOLIVE'!$1507:$1507</definedName>
    <definedName name="L_2_1006" localSheetId="0">'CADOLIVE'!$1508:$1508</definedName>
    <definedName name="L_2_1007" localSheetId="0">'CADOLIVE'!$1509:$1509</definedName>
    <definedName name="L_2_1008" localSheetId="0">'CADOLIVE'!$1514:$1514</definedName>
    <definedName name="L_2_1009" localSheetId="0">'CADOLIVE'!$1515:$1515</definedName>
    <definedName name="L_2_101" localSheetId="0">'CADOLIVE'!$174:$174</definedName>
    <definedName name="L_2_1010" localSheetId="0">'CADOLIVE'!$1516:$1516</definedName>
    <definedName name="L_2_1011" localSheetId="0">'CADOLIVE'!$1521:$1521</definedName>
    <definedName name="L_2_1012" localSheetId="0">'CADOLIVE'!$1522:$1522</definedName>
    <definedName name="L_2_1013" localSheetId="0">'CADOLIVE'!$1523:$1523</definedName>
    <definedName name="L_2_1014" localSheetId="0">'CADOLIVE'!$1526:$1526</definedName>
    <definedName name="L_2_1015" localSheetId="0">'CADOLIVE'!$1527:$1527</definedName>
    <definedName name="L_2_1016" localSheetId="0">'CADOLIVE'!$1528:$1528</definedName>
    <definedName name="L_2_1017" localSheetId="0">'CADOLIVE'!$1533:$1533</definedName>
    <definedName name="L_2_1018" localSheetId="0">'CADOLIVE'!$1535:$1535</definedName>
    <definedName name="L_2_1019" localSheetId="0">'CADOLIVE'!$1536:$1536</definedName>
    <definedName name="L_2_102" localSheetId="0">'CADOLIVE'!$185:$185</definedName>
    <definedName name="L_2_1020" localSheetId="0">'CADOLIVE'!$1537:$1537</definedName>
    <definedName name="L_2_1021" localSheetId="0">'CADOLIVE'!$1538:$1538</definedName>
    <definedName name="L_2_1022" localSheetId="0">'CADOLIVE'!$1545:$1545</definedName>
    <definedName name="L_2_1023" localSheetId="0">'CADOLIVE'!$1546:$1546</definedName>
    <definedName name="L_2_1024" localSheetId="0">'CADOLIVE'!$1547:$1547</definedName>
    <definedName name="L_2_1025" localSheetId="0">'CADOLIVE'!$1560:$1560</definedName>
    <definedName name="L_2_1026" localSheetId="0">'CADOLIVE'!$1561:$1561</definedName>
    <definedName name="L_2_1027" localSheetId="0">'CADOLIVE'!$1562:$1562</definedName>
    <definedName name="L_2_1028" localSheetId="0">'CADOLIVE'!$1563:$1563</definedName>
    <definedName name="L_2_1029" localSheetId="0">'CADOLIVE'!$1571:$1571</definedName>
    <definedName name="L_2_103" localSheetId="0">'CADOLIVE'!$186:$186</definedName>
    <definedName name="L_2_1030" localSheetId="0">'CADOLIVE'!$1579:$1579</definedName>
    <definedName name="L_2_1031" localSheetId="0">'CADOLIVE'!$1583:$1583</definedName>
    <definedName name="L_2_1032" localSheetId="0">'CADOLIVE'!$1584:$1584</definedName>
    <definedName name="L_2_1033" localSheetId="0">'CADOLIVE'!$1586:$1586</definedName>
    <definedName name="L_2_1034" localSheetId="0">'CADOLIVE'!$1589:$1589</definedName>
    <definedName name="L_2_1035" localSheetId="0">'CADOLIVE'!$1591:$1591</definedName>
    <definedName name="L_2_1036" localSheetId="0">'CADOLIVE'!$1592:$1592</definedName>
    <definedName name="L_2_1037" localSheetId="0">'CADOLIVE'!$1595:$1595</definedName>
    <definedName name="L_2_1038" localSheetId="0">'CADOLIVE'!$1597:$1597</definedName>
    <definedName name="L_2_1039" localSheetId="0">'CADOLIVE'!$1598:$1598</definedName>
    <definedName name="L_2_104" localSheetId="0">'CADOLIVE'!$187:$187</definedName>
    <definedName name="L_2_1040" localSheetId="0">'CADOLIVE'!$1601:$1601</definedName>
    <definedName name="L_2_1041" localSheetId="0">'CADOLIVE'!$1602:$1602</definedName>
    <definedName name="L_2_1042" localSheetId="0">'CADOLIVE'!$1603:$1603</definedName>
    <definedName name="L_2_1043" localSheetId="0">'CADOLIVE'!$1604:$1604</definedName>
    <definedName name="L_2_1044" localSheetId="0">'CADOLIVE'!$1605:$1605</definedName>
    <definedName name="L_2_1045" localSheetId="0">'CADOLIVE'!$1611:$1611</definedName>
    <definedName name="L_2_1046" localSheetId="0">'CADOLIVE'!$1612:$1612</definedName>
    <definedName name="L_2_1047" localSheetId="0">'CADOLIVE'!$1613:$1613</definedName>
    <definedName name="L_2_1048" localSheetId="0">'CADOLIVE'!$1617:$1617</definedName>
    <definedName name="L_2_1049" localSheetId="0">'CADOLIVE'!$1618:$1618</definedName>
    <definedName name="L_2_105" localSheetId="0">'CADOLIVE'!$188:$188</definedName>
    <definedName name="L_2_1050" localSheetId="0">'CADOLIVE'!$1619:$1619</definedName>
    <definedName name="L_2_1051" localSheetId="0">'CADOLIVE'!$1620:$1620</definedName>
    <definedName name="L_2_1052" localSheetId="0">'CADOLIVE'!$1621:$1621</definedName>
    <definedName name="L_2_1053" localSheetId="0">'CADOLIVE'!$1624:$1624</definedName>
    <definedName name="L_2_1054" localSheetId="0">'CADOLIVE'!$1626:$1626</definedName>
    <definedName name="L_2_1055" localSheetId="0">'CADOLIVE'!$1627:$1627</definedName>
    <definedName name="L_2_1056" localSheetId="0">'CADOLIVE'!$1630:$1630</definedName>
    <definedName name="L_2_1057" localSheetId="0">'CADOLIVE'!$1632:$1632</definedName>
    <definedName name="L_2_1058" localSheetId="0">'CADOLIVE'!$1633:$1633</definedName>
    <definedName name="L_2_1059" localSheetId="0">'CADOLIVE'!$1636:$1636</definedName>
    <definedName name="L_2_106" localSheetId="0">'CADOLIVE'!$189:$189</definedName>
    <definedName name="L_2_1060" localSheetId="0">'CADOLIVE'!$1638:$1638</definedName>
    <definedName name="L_2_1061" localSheetId="0">'CADOLIVE'!$1639:$1639</definedName>
    <definedName name="L_2_1062" localSheetId="0">'CADOLIVE'!$1642:$1642</definedName>
    <definedName name="L_2_107" localSheetId="0">'CADOLIVE'!$190:$190</definedName>
    <definedName name="L_2_108" localSheetId="0">'CADOLIVE'!$191:$191</definedName>
    <definedName name="L_2_109" localSheetId="0">'CADOLIVE'!$192:$192</definedName>
    <definedName name="L_2_11" localSheetId="0">'CADOLIVE'!$13:$13</definedName>
    <definedName name="L_2_110" localSheetId="0">'CADOLIVE'!$196:$196</definedName>
    <definedName name="L_2_111" localSheetId="0">'CADOLIVE'!$199:$199</definedName>
    <definedName name="L_2_112" localSheetId="0">'CADOLIVE'!$200:$200</definedName>
    <definedName name="L_2_113" localSheetId="0">'CADOLIVE'!$201:$201</definedName>
    <definedName name="L_2_114" localSheetId="0">'CADOLIVE'!$202:$202</definedName>
    <definedName name="L_2_115" localSheetId="0">'CADOLIVE'!$203:$203</definedName>
    <definedName name="L_2_116" localSheetId="0">'CADOLIVE'!$204:$204</definedName>
    <definedName name="L_2_117" localSheetId="0">'CADOLIVE'!$205:$205</definedName>
    <definedName name="L_2_118" localSheetId="0">'CADOLIVE'!$206:$206</definedName>
    <definedName name="L_2_119" localSheetId="0">'CADOLIVE'!$207:$207</definedName>
    <definedName name="L_2_12" localSheetId="0">'CADOLIVE'!$14:$14</definedName>
    <definedName name="L_2_120" localSheetId="0">'CADOLIVE'!$208:$208</definedName>
    <definedName name="L_2_121" localSheetId="0">'CADOLIVE'!$215:$215</definedName>
    <definedName name="L_2_122" localSheetId="0">'CADOLIVE'!$216:$216</definedName>
    <definedName name="L_2_123" localSheetId="0">'CADOLIVE'!$217:$217</definedName>
    <definedName name="L_2_124" localSheetId="0">'CADOLIVE'!$218:$218</definedName>
    <definedName name="L_2_125" localSheetId="0">'CADOLIVE'!$219:$219</definedName>
    <definedName name="L_2_126" localSheetId="0">'CADOLIVE'!$220:$220</definedName>
    <definedName name="L_2_127" localSheetId="0">'CADOLIVE'!$221:$221</definedName>
    <definedName name="L_2_128" localSheetId="0">'CADOLIVE'!$222:$222</definedName>
    <definedName name="L_2_129" localSheetId="0">'CADOLIVE'!$223:$223</definedName>
    <definedName name="L_2_13" localSheetId="0">'CADOLIVE'!$15:$15</definedName>
    <definedName name="L_2_130" localSheetId="0">'CADOLIVE'!$230:$230</definedName>
    <definedName name="L_2_131" localSheetId="0">'CADOLIVE'!$231:$231</definedName>
    <definedName name="L_2_132" localSheetId="0">'CADOLIVE'!$232:$232</definedName>
    <definedName name="L_2_133" localSheetId="0">'CADOLIVE'!$233:$233</definedName>
    <definedName name="L_2_134" localSheetId="0">'CADOLIVE'!$234:$234</definedName>
    <definedName name="L_2_135" localSheetId="0">'CADOLIVE'!$235:$235</definedName>
    <definedName name="L_2_136" localSheetId="0">'CADOLIVE'!$236:$236</definedName>
    <definedName name="L_2_137" localSheetId="0">'CADOLIVE'!$237:$237</definedName>
    <definedName name="L_2_138" localSheetId="0">'CADOLIVE'!$238:$238</definedName>
    <definedName name="L_2_139" localSheetId="0">'CADOLIVE'!$244:$244</definedName>
    <definedName name="L_2_14" localSheetId="0">'CADOLIVE'!$16:$16</definedName>
    <definedName name="L_2_140" localSheetId="0">'CADOLIVE'!$245:$245</definedName>
    <definedName name="L_2_141" localSheetId="0">'CADOLIVE'!$246:$246</definedName>
    <definedName name="L_2_142" localSheetId="0">'CADOLIVE'!$247:$247</definedName>
    <definedName name="L_2_143" localSheetId="0">'CADOLIVE'!$248:$248</definedName>
    <definedName name="L_2_144" localSheetId="0">'CADOLIVE'!$249:$249</definedName>
    <definedName name="L_2_145" localSheetId="0">'CADOLIVE'!$250:$250</definedName>
    <definedName name="L_2_146" localSheetId="0">'CADOLIVE'!$251:$251</definedName>
    <definedName name="L_2_147" localSheetId="0">'CADOLIVE'!$252:$252</definedName>
    <definedName name="L_2_148" localSheetId="0">'CADOLIVE'!$257:$257</definedName>
    <definedName name="L_2_149" localSheetId="0">'CADOLIVE'!$258:$258</definedName>
    <definedName name="L_2_15" localSheetId="0">'CADOLIVE'!$17:$17</definedName>
    <definedName name="L_2_150" localSheetId="0">'CADOLIVE'!$259:$259</definedName>
    <definedName name="L_2_151" localSheetId="0">'CADOLIVE'!$260:$260</definedName>
    <definedName name="L_2_152" localSheetId="0">'CADOLIVE'!$261:$261</definedName>
    <definedName name="L_2_153" localSheetId="0">'CADOLIVE'!$262:$262</definedName>
    <definedName name="L_2_154" localSheetId="0">'CADOLIVE'!$263:$263</definedName>
    <definedName name="L_2_155" localSheetId="0">'CADOLIVE'!$264:$264</definedName>
    <definedName name="L_2_156" localSheetId="0">'CADOLIVE'!$265:$265</definedName>
    <definedName name="L_2_157" localSheetId="0">'CADOLIVE'!$268:$268</definedName>
    <definedName name="L_2_158" localSheetId="0">'CADOLIVE'!$269:$269</definedName>
    <definedName name="L_2_159" localSheetId="0">'CADOLIVE'!$270:$270</definedName>
    <definedName name="L_2_16" localSheetId="0">'CADOLIVE'!$19:$19</definedName>
    <definedName name="L_2_160" localSheetId="0">'CADOLIVE'!$271:$271</definedName>
    <definedName name="L_2_161" localSheetId="0">'CADOLIVE'!$272:$272</definedName>
    <definedName name="L_2_162" localSheetId="0">'CADOLIVE'!$273:$273</definedName>
    <definedName name="L_2_163" localSheetId="0">'CADOLIVE'!$274:$274</definedName>
    <definedName name="L_2_164" localSheetId="0">'CADOLIVE'!$275:$275</definedName>
    <definedName name="L_2_165" localSheetId="0">'CADOLIVE'!$276:$276</definedName>
    <definedName name="L_2_166" localSheetId="0">'CADOLIVE'!$281:$281</definedName>
    <definedName name="L_2_167" localSheetId="0">'CADOLIVE'!$282:$282</definedName>
    <definedName name="L_2_168" localSheetId="0">'CADOLIVE'!$283:$283</definedName>
    <definedName name="L_2_169" localSheetId="0">'CADOLIVE'!$284:$284</definedName>
    <definedName name="L_2_17" localSheetId="0">'CADOLIVE'!$20:$20</definedName>
    <definedName name="L_2_170" localSheetId="0">'CADOLIVE'!$285:$285</definedName>
    <definedName name="L_2_171" localSheetId="0">'CADOLIVE'!$286:$286</definedName>
    <definedName name="L_2_172" localSheetId="0">'CADOLIVE'!$287:$287</definedName>
    <definedName name="L_2_173" localSheetId="0">'CADOLIVE'!$288:$288</definedName>
    <definedName name="L_2_174" localSheetId="0">'CADOLIVE'!$289:$289</definedName>
    <definedName name="L_2_175" localSheetId="0">'CADOLIVE'!$290:$290</definedName>
    <definedName name="L_2_176" localSheetId="0">'CADOLIVE'!$291:$291</definedName>
    <definedName name="L_2_177" localSheetId="0">'CADOLIVE'!$294:$294</definedName>
    <definedName name="L_2_178" localSheetId="0">'CADOLIVE'!$295:$295</definedName>
    <definedName name="L_2_179" localSheetId="0">'CADOLIVE'!$296:$296</definedName>
    <definedName name="L_2_18" localSheetId="0">'CADOLIVE'!$21:$21</definedName>
    <definedName name="L_2_180" localSheetId="0">'CADOLIVE'!$297:$297</definedName>
    <definedName name="L_2_181" localSheetId="0">'CADOLIVE'!$298:$298</definedName>
    <definedName name="L_2_182" localSheetId="0">'CADOLIVE'!$299:$299</definedName>
    <definedName name="L_2_183" localSheetId="0">'CADOLIVE'!$300:$300</definedName>
    <definedName name="L_2_184" localSheetId="0">'CADOLIVE'!$301:$301</definedName>
    <definedName name="L_2_185" localSheetId="0">'CADOLIVE'!$302:$302</definedName>
    <definedName name="L_2_186" localSheetId="0">'CADOLIVE'!$303:$303</definedName>
    <definedName name="L_2_187" localSheetId="0">'CADOLIVE'!$304:$304</definedName>
    <definedName name="L_2_188" localSheetId="0">'CADOLIVE'!$308:$308</definedName>
    <definedName name="L_2_189" localSheetId="0">'CADOLIVE'!$309:$309</definedName>
    <definedName name="L_2_19" localSheetId="0">'CADOLIVE'!$22:$22</definedName>
    <definedName name="L_2_190" localSheetId="0">'CADOLIVE'!$310:$310</definedName>
    <definedName name="L_2_191" localSheetId="0">'CADOLIVE'!$311:$311</definedName>
    <definedName name="L_2_192" localSheetId="0">'CADOLIVE'!$312:$312</definedName>
    <definedName name="L_2_193" localSheetId="0">'CADOLIVE'!$313:$313</definedName>
    <definedName name="L_2_194" localSheetId="0">'CADOLIVE'!$314:$314</definedName>
    <definedName name="L_2_195" localSheetId="0">'CADOLIVE'!$315:$315</definedName>
    <definedName name="L_2_196" localSheetId="0">'CADOLIVE'!$316:$316</definedName>
    <definedName name="L_2_197" localSheetId="0">'CADOLIVE'!$322:$322</definedName>
    <definedName name="L_2_198" localSheetId="0">'CADOLIVE'!$323:$323</definedName>
    <definedName name="L_2_199" localSheetId="0">'CADOLIVE'!$324:$324</definedName>
    <definedName name="L_2_20" localSheetId="0">'CADOLIVE'!$24:$24</definedName>
    <definedName name="L_2_200" localSheetId="0">'CADOLIVE'!$325:$325</definedName>
    <definedName name="L_2_201" localSheetId="0">'CADOLIVE'!$326:$326</definedName>
    <definedName name="L_2_202" localSheetId="0">'CADOLIVE'!$327:$327</definedName>
    <definedName name="L_2_203" localSheetId="0">'CADOLIVE'!$328:$328</definedName>
    <definedName name="L_2_204" localSheetId="0">'CADOLIVE'!$329:$329</definedName>
    <definedName name="L_2_205" localSheetId="0">'CADOLIVE'!$330:$330</definedName>
    <definedName name="L_2_206" localSheetId="0">'CADOLIVE'!$331:$331</definedName>
    <definedName name="L_2_207" localSheetId="0">'CADOLIVE'!$332:$332</definedName>
    <definedName name="L_2_208" localSheetId="0">'CADOLIVE'!$333:$333</definedName>
    <definedName name="L_2_209" localSheetId="0">'CADOLIVE'!$334:$334</definedName>
    <definedName name="L_2_21" localSheetId="0">'CADOLIVE'!$25:$25</definedName>
    <definedName name="L_2_210" localSheetId="0">'CADOLIVE'!$335:$335</definedName>
    <definedName name="L_2_211" localSheetId="0">'CADOLIVE'!$336:$336</definedName>
    <definedName name="L_2_212" localSheetId="0">'CADOLIVE'!$337:$337</definedName>
    <definedName name="L_2_213" localSheetId="0">'CADOLIVE'!$338:$338</definedName>
    <definedName name="L_2_214" localSheetId="0">'CADOLIVE'!$343:$343</definedName>
    <definedName name="L_2_215" localSheetId="0">'CADOLIVE'!$347:$347</definedName>
    <definedName name="L_2_216" localSheetId="0">'CADOLIVE'!$349:$349</definedName>
    <definedName name="L_2_217" localSheetId="0">'CADOLIVE'!$351:$351</definedName>
    <definedName name="L_2_218" localSheetId="0">'CADOLIVE'!$353:$353</definedName>
    <definedName name="L_2_219" localSheetId="0">'CADOLIVE'!$355:$355</definedName>
    <definedName name="L_2_22" localSheetId="0">'CADOLIVE'!$26:$26</definedName>
    <definedName name="L_2_220" localSheetId="0">'CADOLIVE'!$356:$356</definedName>
    <definedName name="L_2_221" localSheetId="0">'CADOLIVE'!$357:$357</definedName>
    <definedName name="L_2_222" localSheetId="0">'CADOLIVE'!$358:$358</definedName>
    <definedName name="L_2_223" localSheetId="0">'CADOLIVE'!$359:$359</definedName>
    <definedName name="L_2_224" localSheetId="0">'CADOLIVE'!$360:$360</definedName>
    <definedName name="L_2_225" localSheetId="0">'CADOLIVE'!$361:$361</definedName>
    <definedName name="L_2_226" localSheetId="0">'CADOLIVE'!$362:$362</definedName>
    <definedName name="L_2_227" localSheetId="0">'CADOLIVE'!$363:$363</definedName>
    <definedName name="L_2_228" localSheetId="0">'CADOLIVE'!$368:$368</definedName>
    <definedName name="L_2_229" localSheetId="0">'CADOLIVE'!$372:$372</definedName>
    <definedName name="L_2_23" localSheetId="0">'CADOLIVE'!$27:$27</definedName>
    <definedName name="L_2_230" localSheetId="0">'CADOLIVE'!$374:$374</definedName>
    <definedName name="L_2_231" localSheetId="0">'CADOLIVE'!$377:$377</definedName>
    <definedName name="L_2_232" localSheetId="0">'CADOLIVE'!$378:$378</definedName>
    <definedName name="L_2_233" localSheetId="0">'CADOLIVE'!$379:$379</definedName>
    <definedName name="L_2_234" localSheetId="0">'CADOLIVE'!$380:$380</definedName>
    <definedName name="L_2_235" localSheetId="0">'CADOLIVE'!$381:$381</definedName>
    <definedName name="L_2_236" localSheetId="0">'CADOLIVE'!$382:$382</definedName>
    <definedName name="L_2_237" localSheetId="0">'CADOLIVE'!$383:$383</definedName>
    <definedName name="L_2_238" localSheetId="0">'CADOLIVE'!$384:$384</definedName>
    <definedName name="L_2_239" localSheetId="0">'CADOLIVE'!$385:$385</definedName>
    <definedName name="L_2_24" localSheetId="0">'CADOLIVE'!$29:$29</definedName>
    <definedName name="L_2_240" localSheetId="0">'CADOLIVE'!$386:$386</definedName>
    <definedName name="L_2_241" localSheetId="0">'CADOLIVE'!$389:$389</definedName>
    <definedName name="L_2_242" localSheetId="0">'CADOLIVE'!$390:$390</definedName>
    <definedName name="L_2_243" localSheetId="0">'CADOLIVE'!$391:$391</definedName>
    <definedName name="L_2_244" localSheetId="0">'CADOLIVE'!$392:$392</definedName>
    <definedName name="L_2_245" localSheetId="0">'CADOLIVE'!$393:$393</definedName>
    <definedName name="L_2_246" localSheetId="0">'CADOLIVE'!$394:$394</definedName>
    <definedName name="L_2_247" localSheetId="0">'CADOLIVE'!$395:$395</definedName>
    <definedName name="L_2_248" localSheetId="0">'CADOLIVE'!$396:$396</definedName>
    <definedName name="L_2_249" localSheetId="0">'CADOLIVE'!$400:$400</definedName>
    <definedName name="L_2_25" localSheetId="0">'CADOLIVE'!$30:$30</definedName>
    <definedName name="L_2_250" localSheetId="0">'CADOLIVE'!$401:$401</definedName>
    <definedName name="L_2_251" localSheetId="0">'CADOLIVE'!$402:$402</definedName>
    <definedName name="L_2_252" localSheetId="0">'CADOLIVE'!$403:$403</definedName>
    <definedName name="L_2_253" localSheetId="0">'CADOLIVE'!$404:$404</definedName>
    <definedName name="L_2_254" localSheetId="0">'CADOLIVE'!$405:$405</definedName>
    <definedName name="L_2_255" localSheetId="0">'CADOLIVE'!$406:$406</definedName>
    <definedName name="L_2_256" localSheetId="0">'CADOLIVE'!$409:$409</definedName>
    <definedName name="L_2_257" localSheetId="0">'CADOLIVE'!$410:$410</definedName>
    <definedName name="L_2_258" localSheetId="0">'CADOLIVE'!$411:$411</definedName>
    <definedName name="L_2_259" localSheetId="0">'CADOLIVE'!$412:$412</definedName>
    <definedName name="L_2_26" localSheetId="0">'CADOLIVE'!$31:$31</definedName>
    <definedName name="L_2_260" localSheetId="0">'CADOLIVE'!$413:$413</definedName>
    <definedName name="L_2_261" localSheetId="0">'CADOLIVE'!$414:$414</definedName>
    <definedName name="L_2_262" localSheetId="0">'CADOLIVE'!$415:$415</definedName>
    <definedName name="L_2_263" localSheetId="0">'CADOLIVE'!$416:$416</definedName>
    <definedName name="L_2_264" localSheetId="0">'CADOLIVE'!$417:$417</definedName>
    <definedName name="L_2_265" localSheetId="0">'CADOLIVE'!$420:$420</definedName>
    <definedName name="L_2_266" localSheetId="0">'CADOLIVE'!$423:$423</definedName>
    <definedName name="L_2_267" localSheetId="0">'CADOLIVE'!$424:$424</definedName>
    <definedName name="L_2_268" localSheetId="0">'CADOLIVE'!$425:$425</definedName>
    <definedName name="L_2_269" localSheetId="0">'CADOLIVE'!$426:$426</definedName>
    <definedName name="L_2_27" localSheetId="0">'CADOLIVE'!$32:$32</definedName>
    <definedName name="L_2_270" localSheetId="0">'CADOLIVE'!$427:$427</definedName>
    <definedName name="L_2_271" localSheetId="0">'CADOLIVE'!$428:$428</definedName>
    <definedName name="L_2_272" localSheetId="0">'CADOLIVE'!$429:$429</definedName>
    <definedName name="L_2_273" localSheetId="0">'CADOLIVE'!$430:$430</definedName>
    <definedName name="L_2_274" localSheetId="0">'CADOLIVE'!$435:$435</definedName>
    <definedName name="L_2_275" localSheetId="0">'CADOLIVE'!$436:$436</definedName>
    <definedName name="L_2_276" localSheetId="0">'CADOLIVE'!$437:$437</definedName>
    <definedName name="L_2_277" localSheetId="0">'CADOLIVE'!$438:$438</definedName>
    <definedName name="L_2_278" localSheetId="0">'CADOLIVE'!$439:$439</definedName>
    <definedName name="L_2_279" localSheetId="0">'CADOLIVE'!$440:$440</definedName>
    <definedName name="L_2_28" localSheetId="0">'CADOLIVE'!$34:$34</definedName>
    <definedName name="L_2_280" localSheetId="0">'CADOLIVE'!$441:$441</definedName>
    <definedName name="L_2_281" localSheetId="0">'CADOLIVE'!$445:$445</definedName>
    <definedName name="L_2_282" localSheetId="0">'CADOLIVE'!$446:$446</definedName>
    <definedName name="L_2_283" localSheetId="0">'CADOLIVE'!$447:$447</definedName>
    <definedName name="L_2_284" localSheetId="0">'CADOLIVE'!$448:$448</definedName>
    <definedName name="L_2_285" localSheetId="0">'CADOLIVE'!$449:$449</definedName>
    <definedName name="L_2_286" localSheetId="0">'CADOLIVE'!$450:$450</definedName>
    <definedName name="L_2_287" localSheetId="0">'CADOLIVE'!$451:$451</definedName>
    <definedName name="L_2_288" localSheetId="0">'CADOLIVE'!$453:$453</definedName>
    <definedName name="L_2_289" localSheetId="0">'CADOLIVE'!$454:$454</definedName>
    <definedName name="L_2_29" localSheetId="0">'CADOLIVE'!$35:$35</definedName>
    <definedName name="L_2_290" localSheetId="0">'CADOLIVE'!$456:$456</definedName>
    <definedName name="L_2_291" localSheetId="0">'CADOLIVE'!$457:$457</definedName>
    <definedName name="L_2_292" localSheetId="0">'CADOLIVE'!$458:$458</definedName>
    <definedName name="L_2_293" localSheetId="0">'CADOLIVE'!$459:$459</definedName>
    <definedName name="L_2_294" localSheetId="0">'CADOLIVE'!$460:$460</definedName>
    <definedName name="L_2_295" localSheetId="0">'CADOLIVE'!$461:$461</definedName>
    <definedName name="L_2_296" localSheetId="0">'CADOLIVE'!$462:$462</definedName>
    <definedName name="L_2_297" localSheetId="0">'CADOLIVE'!$463:$463</definedName>
    <definedName name="L_2_298" localSheetId="0">'CADOLIVE'!$464:$464</definedName>
    <definedName name="L_2_299" localSheetId="0">'CADOLIVE'!$465:$465</definedName>
    <definedName name="L_2_3" localSheetId="0">'CADOLIVE'!$4:$4</definedName>
    <definedName name="L_2_30" localSheetId="0">'CADOLIVE'!$36:$36</definedName>
    <definedName name="L_2_300" localSheetId="0">'CADOLIVE'!$466:$466</definedName>
    <definedName name="L_2_301" localSheetId="0">'CADOLIVE'!$467:$467</definedName>
    <definedName name="L_2_302" localSheetId="0">'CADOLIVE'!$470:$470</definedName>
    <definedName name="L_2_303" localSheetId="0">'CADOLIVE'!$471:$471</definedName>
    <definedName name="L_2_304" localSheetId="0">'CADOLIVE'!$472:$472</definedName>
    <definedName name="L_2_305" localSheetId="0">'CADOLIVE'!$473:$473</definedName>
    <definedName name="L_2_306" localSheetId="0">'CADOLIVE'!$474:$474</definedName>
    <definedName name="L_2_307" localSheetId="0">'CADOLIVE'!$475:$475</definedName>
    <definedName name="L_2_308" localSheetId="0">'CADOLIVE'!$476:$476</definedName>
    <definedName name="L_2_309" localSheetId="0">'CADOLIVE'!$477:$477</definedName>
    <definedName name="L_2_31" localSheetId="0">'CADOLIVE'!$37:$37</definedName>
    <definedName name="L_2_310" localSheetId="0">'CADOLIVE'!$480:$480</definedName>
    <definedName name="L_2_311" localSheetId="0">'CADOLIVE'!$484:$484</definedName>
    <definedName name="L_2_312" localSheetId="0">'CADOLIVE'!$485:$485</definedName>
    <definedName name="L_2_313" localSheetId="0">'CADOLIVE'!$486:$486</definedName>
    <definedName name="L_2_314" localSheetId="0">'CADOLIVE'!$487:$487</definedName>
    <definedName name="L_2_315" localSheetId="0">'CADOLIVE'!$488:$488</definedName>
    <definedName name="L_2_316" localSheetId="0">'CADOLIVE'!$489:$489</definedName>
    <definedName name="L_2_317" localSheetId="0">'CADOLIVE'!$491:$491</definedName>
    <definedName name="L_2_318" localSheetId="0">'CADOLIVE'!$492:$492</definedName>
    <definedName name="L_2_319" localSheetId="0">'CADOLIVE'!$493:$493</definedName>
    <definedName name="L_2_32" localSheetId="0">'CADOLIVE'!$38:$38</definedName>
    <definedName name="L_2_320" localSheetId="0">'CADOLIVE'!$494:$494</definedName>
    <definedName name="L_2_321" localSheetId="0">'CADOLIVE'!$495:$495</definedName>
    <definedName name="L_2_322" localSheetId="0">'CADOLIVE'!$496:$496</definedName>
    <definedName name="L_2_323" localSheetId="0">'CADOLIVE'!$497:$497</definedName>
    <definedName name="L_2_324" localSheetId="0">'CADOLIVE'!$498:$498</definedName>
    <definedName name="L_2_325" localSheetId="0">'CADOLIVE'!$499:$499</definedName>
    <definedName name="L_2_326" localSheetId="0">'CADOLIVE'!$500:$500</definedName>
    <definedName name="L_2_327" localSheetId="0">'CADOLIVE'!$501:$501</definedName>
    <definedName name="L_2_328" localSheetId="0">'CADOLIVE'!$502:$502</definedName>
    <definedName name="L_2_329" localSheetId="0">'CADOLIVE'!$503:$503</definedName>
    <definedName name="L_2_33" localSheetId="0">'CADOLIVE'!$40:$40</definedName>
    <definedName name="L_2_330" localSheetId="0">'CADOLIVE'!$504:$504</definedName>
    <definedName name="L_2_331" localSheetId="0">'CADOLIVE'!$505:$505</definedName>
    <definedName name="L_2_332" localSheetId="0">'CADOLIVE'!$509:$509</definedName>
    <definedName name="L_2_333" localSheetId="0">'CADOLIVE'!$514:$514</definedName>
    <definedName name="L_2_334" localSheetId="0">'CADOLIVE'!$517:$517</definedName>
    <definedName name="L_2_335" localSheetId="0">'CADOLIVE'!$518:$518</definedName>
    <definedName name="L_2_336" localSheetId="0">'CADOLIVE'!$519:$519</definedName>
    <definedName name="L_2_337" localSheetId="0">'CADOLIVE'!$520:$520</definedName>
    <definedName name="L_2_338" localSheetId="0">'CADOLIVE'!$521:$521</definedName>
    <definedName name="L_2_339" localSheetId="0">'CADOLIVE'!$522:$522</definedName>
    <definedName name="L_2_34" localSheetId="0">'CADOLIVE'!$41:$41</definedName>
    <definedName name="L_2_340" localSheetId="0">'CADOLIVE'!$523:$523</definedName>
    <definedName name="L_2_341" localSheetId="0">'CADOLIVE'!$524:$524</definedName>
    <definedName name="L_2_342" localSheetId="0">'CADOLIVE'!$525:$525</definedName>
    <definedName name="L_2_343" localSheetId="0">'CADOLIVE'!$526:$526</definedName>
    <definedName name="L_2_344" localSheetId="0">'CADOLIVE'!$527:$527</definedName>
    <definedName name="L_2_345" localSheetId="0">'CADOLIVE'!$528:$528</definedName>
    <definedName name="L_2_346" localSheetId="0">'CADOLIVE'!$532:$532</definedName>
    <definedName name="L_2_347" localSheetId="0">'CADOLIVE'!$536:$536</definedName>
    <definedName name="L_2_348" localSheetId="0">'CADOLIVE'!$537:$537</definedName>
    <definedName name="L_2_349" localSheetId="0">'CADOLIVE'!$538:$538</definedName>
    <definedName name="L_2_35" localSheetId="0">'CADOLIVE'!$42:$42</definedName>
    <definedName name="L_2_350" localSheetId="0">'CADOLIVE'!$539:$539</definedName>
    <definedName name="L_2_351" localSheetId="0">'CADOLIVE'!$540:$540</definedName>
    <definedName name="L_2_352" localSheetId="0">'CADOLIVE'!$541:$541</definedName>
    <definedName name="L_2_353" localSheetId="0">'CADOLIVE'!$542:$542</definedName>
    <definedName name="L_2_354" localSheetId="0">'CADOLIVE'!$543:$543</definedName>
    <definedName name="L_2_355" localSheetId="0">'CADOLIVE'!$544:$544</definedName>
    <definedName name="L_2_356" localSheetId="0">'CADOLIVE'!$545:$545</definedName>
    <definedName name="L_2_357" localSheetId="0">'CADOLIVE'!$546:$546</definedName>
    <definedName name="L_2_358" localSheetId="0">'CADOLIVE'!$547:$547</definedName>
    <definedName name="L_2_359" localSheetId="0">'CADOLIVE'!$549:$549</definedName>
    <definedName name="L_2_36" localSheetId="0">'CADOLIVE'!$43:$43</definedName>
    <definedName name="L_2_360" localSheetId="0">'CADOLIVE'!$552:$552</definedName>
    <definedName name="L_2_361" localSheetId="0">'CADOLIVE'!$553:$553</definedName>
    <definedName name="L_2_362" localSheetId="0">'CADOLIVE'!$554:$554</definedName>
    <definedName name="L_2_363" localSheetId="0">'CADOLIVE'!$555:$555</definedName>
    <definedName name="L_2_364" localSheetId="0">'CADOLIVE'!$556:$556</definedName>
    <definedName name="L_2_365" localSheetId="0">'CADOLIVE'!$557:$557</definedName>
    <definedName name="L_2_366" localSheetId="0">'CADOLIVE'!$558:$558</definedName>
    <definedName name="L_2_367" localSheetId="0">'CADOLIVE'!$559:$559</definedName>
    <definedName name="L_2_368" localSheetId="0">'CADOLIVE'!$560:$560</definedName>
    <definedName name="L_2_369" localSheetId="0">'CADOLIVE'!$561:$561</definedName>
    <definedName name="L_2_37" localSheetId="0">'CADOLIVE'!$44:$44</definedName>
    <definedName name="L_2_370" localSheetId="0">'CADOLIVE'!$564:$564</definedName>
    <definedName name="L_2_371" localSheetId="0">'CADOLIVE'!$565:$565</definedName>
    <definedName name="L_2_372" localSheetId="0">'CADOLIVE'!$566:$566</definedName>
    <definedName name="L_2_373" localSheetId="0">'CADOLIVE'!$567:$567</definedName>
    <definedName name="L_2_374" localSheetId="0">'CADOLIVE'!$568:$568</definedName>
    <definedName name="L_2_375" localSheetId="0">'CADOLIVE'!$569:$569</definedName>
    <definedName name="L_2_376" localSheetId="0">'CADOLIVE'!$570:$570</definedName>
    <definedName name="L_2_377" localSheetId="0">'CADOLIVE'!$571:$571</definedName>
    <definedName name="L_2_378" localSheetId="0">'CADOLIVE'!$572:$572</definedName>
    <definedName name="L_2_379" localSheetId="0">'CADOLIVE'!$575:$575</definedName>
    <definedName name="L_2_38" localSheetId="0">'CADOLIVE'!$45:$45</definedName>
    <definedName name="L_2_380" localSheetId="0">'CADOLIVE'!$576:$576</definedName>
    <definedName name="L_2_381" localSheetId="0">'CADOLIVE'!$577:$577</definedName>
    <definedName name="L_2_382" localSheetId="0">'CADOLIVE'!$578:$578</definedName>
    <definedName name="L_2_383" localSheetId="0">'CADOLIVE'!$579:$579</definedName>
    <definedName name="L_2_384" localSheetId="0">'CADOLIVE'!$580:$580</definedName>
    <definedName name="L_2_385" localSheetId="0">'CADOLIVE'!$581:$581</definedName>
    <definedName name="L_2_386" localSheetId="0">'CADOLIVE'!$582:$582</definedName>
    <definedName name="L_2_387" localSheetId="0">'CADOLIVE'!$585:$585</definedName>
    <definedName name="L_2_388" localSheetId="0">'CADOLIVE'!$586:$586</definedName>
    <definedName name="L_2_389" localSheetId="0">'CADOLIVE'!$587:$587</definedName>
    <definedName name="L_2_39" localSheetId="0">'CADOLIVE'!$46:$46</definedName>
    <definedName name="L_2_390" localSheetId="0">'CADOLIVE'!$590:$590</definedName>
    <definedName name="L_2_391" localSheetId="0">'CADOLIVE'!$591:$591</definedName>
    <definedName name="L_2_392" localSheetId="0">'CADOLIVE'!$592:$592</definedName>
    <definedName name="L_2_393" localSheetId="0">'CADOLIVE'!$593:$593</definedName>
    <definedName name="L_2_394" localSheetId="0">'CADOLIVE'!$594:$594</definedName>
    <definedName name="L_2_395" localSheetId="0">'CADOLIVE'!$595:$595</definedName>
    <definedName name="L_2_396" localSheetId="0">'CADOLIVE'!$596:$596</definedName>
    <definedName name="L_2_397" localSheetId="0">'CADOLIVE'!$597:$597</definedName>
    <definedName name="L_2_398" localSheetId="0">'CADOLIVE'!$600:$600</definedName>
    <definedName name="L_2_399" localSheetId="0">'CADOLIVE'!$601:$601</definedName>
    <definedName name="L_2_4" localSheetId="0">'CADOLIVE'!$5:$5</definedName>
    <definedName name="L_2_40" localSheetId="0">'CADOLIVE'!$47:$47</definedName>
    <definedName name="L_2_400" localSheetId="0">'CADOLIVE'!$602:$602</definedName>
    <definedName name="L_2_401" localSheetId="0">'CADOLIVE'!$603:$603</definedName>
    <definedName name="L_2_402" localSheetId="0">'CADOLIVE'!$604:$604</definedName>
    <definedName name="L_2_403" localSheetId="0">'CADOLIVE'!$605:$605</definedName>
    <definedName name="L_2_404" localSheetId="0">'CADOLIVE'!$606:$606</definedName>
    <definedName name="L_2_405" localSheetId="0">'CADOLIVE'!$607:$607</definedName>
    <definedName name="L_2_406" localSheetId="0">'CADOLIVE'!$608:$608</definedName>
    <definedName name="L_2_407" localSheetId="0">'CADOLIVE'!$609:$609</definedName>
    <definedName name="L_2_408" localSheetId="0">'CADOLIVE'!$610:$610</definedName>
    <definedName name="L_2_409" localSheetId="0">'CADOLIVE'!$613:$613</definedName>
    <definedName name="L_2_41" localSheetId="0">'CADOLIVE'!$48:$48</definedName>
    <definedName name="L_2_410" localSheetId="0">'CADOLIVE'!$614:$614</definedName>
    <definedName name="L_2_411" localSheetId="0">'CADOLIVE'!$617:$617</definedName>
    <definedName name="L_2_412" localSheetId="0">'CADOLIVE'!$618:$618</definedName>
    <definedName name="L_2_413" localSheetId="0">'CADOLIVE'!$621:$621</definedName>
    <definedName name="L_2_414" localSheetId="0">'CADOLIVE'!$622:$622</definedName>
    <definedName name="L_2_415" localSheetId="0">'CADOLIVE'!$623:$623</definedName>
    <definedName name="L_2_416" localSheetId="0">'CADOLIVE'!$624:$624</definedName>
    <definedName name="L_2_417" localSheetId="0">'CADOLIVE'!$625:$625</definedName>
    <definedName name="L_2_418" localSheetId="0">'CADOLIVE'!$626:$626</definedName>
    <definedName name="L_2_419" localSheetId="0">'CADOLIVE'!$627:$627</definedName>
    <definedName name="L_2_42" localSheetId="0">'CADOLIVE'!$49:$49</definedName>
    <definedName name="L_2_420" localSheetId="0">'CADOLIVE'!$628:$628</definedName>
    <definedName name="L_2_421" localSheetId="0">'CADOLIVE'!$629:$629</definedName>
    <definedName name="L_2_422" localSheetId="0">'CADOLIVE'!$633:$633</definedName>
    <definedName name="L_2_423" localSheetId="0">'CADOLIVE'!$634:$634</definedName>
    <definedName name="L_2_424" localSheetId="0">'CADOLIVE'!$635:$635</definedName>
    <definedName name="L_2_425" localSheetId="0">'CADOLIVE'!$636:$636</definedName>
    <definedName name="L_2_426" localSheetId="0">'CADOLIVE'!$637:$637</definedName>
    <definedName name="L_2_427" localSheetId="0">'CADOLIVE'!$638:$638</definedName>
    <definedName name="L_2_428" localSheetId="0">'CADOLIVE'!$639:$639</definedName>
    <definedName name="L_2_429" localSheetId="0">'CADOLIVE'!$640:$640</definedName>
    <definedName name="L_2_43" localSheetId="0">'CADOLIVE'!$50:$50</definedName>
    <definedName name="L_2_430" localSheetId="0">'CADOLIVE'!$641:$641</definedName>
    <definedName name="L_2_431" localSheetId="0">'CADOLIVE'!$642:$642</definedName>
    <definedName name="L_2_432" localSheetId="0">'CADOLIVE'!$643:$643</definedName>
    <definedName name="L_2_433" localSheetId="0">'CADOLIVE'!$650:$650</definedName>
    <definedName name="L_2_434" localSheetId="0">'CADOLIVE'!$651:$651</definedName>
    <definedName name="L_2_435" localSheetId="0">'CADOLIVE'!$652:$652</definedName>
    <definedName name="L_2_436" localSheetId="0">'CADOLIVE'!$653:$653</definedName>
    <definedName name="L_2_437" localSheetId="0">'CADOLIVE'!$654:$654</definedName>
    <definedName name="L_2_438" localSheetId="0">'CADOLIVE'!$655:$655</definedName>
    <definedName name="L_2_439" localSheetId="0">'CADOLIVE'!$656:$656</definedName>
    <definedName name="L_2_44" localSheetId="0">'CADOLIVE'!$51:$51</definedName>
    <definedName name="L_2_440" localSheetId="0">'CADOLIVE'!$657:$657</definedName>
    <definedName name="L_2_441" localSheetId="0">'CADOLIVE'!$658:$658</definedName>
    <definedName name="L_2_442" localSheetId="0">'CADOLIVE'!$661:$661</definedName>
    <definedName name="L_2_443" localSheetId="0">'CADOLIVE'!$664:$664</definedName>
    <definedName name="L_2_444" localSheetId="0">'CADOLIVE'!$665:$665</definedName>
    <definedName name="L_2_445" localSheetId="0">'CADOLIVE'!$666:$666</definedName>
    <definedName name="L_2_446" localSheetId="0">'CADOLIVE'!$667:$667</definedName>
    <definedName name="L_2_447" localSheetId="0">'CADOLIVE'!$668:$668</definedName>
    <definedName name="L_2_448" localSheetId="0">'CADOLIVE'!$669:$669</definedName>
    <definedName name="L_2_449" localSheetId="0">'CADOLIVE'!$670:$670</definedName>
    <definedName name="L_2_45" localSheetId="0">'CADOLIVE'!$52:$52</definedName>
    <definedName name="L_2_450" localSheetId="0">'CADOLIVE'!$671:$671</definedName>
    <definedName name="L_2_451" localSheetId="0">'CADOLIVE'!$672:$672</definedName>
    <definedName name="L_2_452" localSheetId="0">'CADOLIVE'!$673:$673</definedName>
    <definedName name="L_2_453" localSheetId="0">'CADOLIVE'!$674:$674</definedName>
    <definedName name="L_2_454" localSheetId="0">'CADOLIVE'!$675:$675</definedName>
    <definedName name="L_2_455" localSheetId="0">'CADOLIVE'!$678:$678</definedName>
    <definedName name="L_2_456" localSheetId="0">'CADOLIVE'!$681:$681</definedName>
    <definedName name="L_2_457" localSheetId="0">'CADOLIVE'!$684:$684</definedName>
    <definedName name="L_2_458" localSheetId="0">'CADOLIVE'!$687:$687</definedName>
    <definedName name="L_2_459" localSheetId="0">'CADOLIVE'!$688:$688</definedName>
    <definedName name="L_2_46" localSheetId="0">'CADOLIVE'!$54:$54</definedName>
    <definedName name="L_2_460" localSheetId="0">'CADOLIVE'!$689:$689</definedName>
    <definedName name="L_2_461" localSheetId="0">'CADOLIVE'!$690:$690</definedName>
    <definedName name="L_2_462" localSheetId="0">'CADOLIVE'!$691:$691</definedName>
    <definedName name="L_2_463" localSheetId="0">'CADOLIVE'!$692:$692</definedName>
    <definedName name="L_2_464" localSheetId="0">'CADOLIVE'!$693:$693</definedName>
    <definedName name="L_2_465" localSheetId="0">'CADOLIVE'!$694:$694</definedName>
    <definedName name="L_2_466" localSheetId="0">'CADOLIVE'!$695:$695</definedName>
    <definedName name="L_2_467" localSheetId="0">'CADOLIVE'!$696:$696</definedName>
    <definedName name="L_2_468" localSheetId="0">'CADOLIVE'!$697:$697</definedName>
    <definedName name="L_2_469" localSheetId="0">'CADOLIVE'!$698:$698</definedName>
    <definedName name="L_2_47" localSheetId="0">'CADOLIVE'!$56:$56</definedName>
    <definedName name="L_2_470" localSheetId="0">'CADOLIVE'!$706:$706</definedName>
    <definedName name="L_2_471" localSheetId="0">'CADOLIVE'!$707:$707</definedName>
    <definedName name="L_2_472" localSheetId="0">'CADOLIVE'!$708:$708</definedName>
    <definedName name="L_2_473" localSheetId="0">'CADOLIVE'!$709:$709</definedName>
    <definedName name="L_2_474" localSheetId="0">'CADOLIVE'!$710:$710</definedName>
    <definedName name="L_2_475" localSheetId="0">'CADOLIVE'!$711:$711</definedName>
    <definedName name="L_2_476" localSheetId="0">'CADOLIVE'!$712:$712</definedName>
    <definedName name="L_2_477" localSheetId="0">'CADOLIVE'!$713:$713</definedName>
    <definedName name="L_2_478" localSheetId="0">'CADOLIVE'!$718:$718</definedName>
    <definedName name="L_2_479" localSheetId="0">'CADOLIVE'!$719:$719</definedName>
    <definedName name="L_2_48" localSheetId="0">'CADOLIVE'!$58:$58</definedName>
    <definedName name="L_2_480" localSheetId="0">'CADOLIVE'!$720:$720</definedName>
    <definedName name="L_2_481" localSheetId="0">'CADOLIVE'!$721:$721</definedName>
    <definedName name="L_2_482" localSheetId="0">'CADOLIVE'!$722:$722</definedName>
    <definedName name="L_2_483" localSheetId="0">'CADOLIVE'!$723:$723</definedName>
    <definedName name="L_2_484" localSheetId="0">'CADOLIVE'!$726:$726</definedName>
    <definedName name="L_2_485" localSheetId="0">'CADOLIVE'!$727:$727</definedName>
    <definedName name="L_2_486" localSheetId="0">'CADOLIVE'!$728:$728</definedName>
    <definedName name="L_2_487" localSheetId="0">'CADOLIVE'!$729:$729</definedName>
    <definedName name="L_2_488" localSheetId="0">'CADOLIVE'!$730:$730</definedName>
    <definedName name="L_2_489" localSheetId="0">'CADOLIVE'!$731:$731</definedName>
    <definedName name="L_2_49" localSheetId="0">'CADOLIVE'!$61:$61</definedName>
    <definedName name="L_2_490" localSheetId="0">'CADOLIVE'!$732:$732</definedName>
    <definedName name="L_2_491" localSheetId="0">'CADOLIVE'!$733:$733</definedName>
    <definedName name="L_2_492" localSheetId="0">'CADOLIVE'!$734:$734</definedName>
    <definedName name="L_2_493" localSheetId="0">'CADOLIVE'!$735:$735</definedName>
    <definedName name="L_2_494" localSheetId="0">'CADOLIVE'!$736:$736</definedName>
    <definedName name="L_2_495" localSheetId="0">'CADOLIVE'!$739:$739</definedName>
    <definedName name="L_2_496" localSheetId="0">'CADOLIVE'!$742:$742</definedName>
    <definedName name="L_2_497" localSheetId="0">'CADOLIVE'!$743:$743</definedName>
    <definedName name="L_2_498" localSheetId="0">'CADOLIVE'!$744:$744</definedName>
    <definedName name="L_2_499" localSheetId="0">'CADOLIVE'!$745:$745</definedName>
    <definedName name="L_2_5" localSheetId="0">'CADOLIVE'!$6:$6</definedName>
    <definedName name="L_2_50" localSheetId="0">'CADOLIVE'!$64:$64</definedName>
    <definedName name="L_2_500" localSheetId="0">'CADOLIVE'!$746:$746</definedName>
    <definedName name="L_2_501" localSheetId="0">'CADOLIVE'!$747:$747</definedName>
    <definedName name="L_2_502" localSheetId="0">'CADOLIVE'!$748:$748</definedName>
    <definedName name="L_2_503" localSheetId="0">'CADOLIVE'!$749:$749</definedName>
    <definedName name="L_2_504" localSheetId="0">'CADOLIVE'!$750:$750</definedName>
    <definedName name="L_2_505" localSheetId="0">'CADOLIVE'!$751:$751</definedName>
    <definedName name="L_2_506" localSheetId="0">'CADOLIVE'!$755:$755</definedName>
    <definedName name="L_2_507" localSheetId="0">'CADOLIVE'!$756:$756</definedName>
    <definedName name="L_2_508" localSheetId="0">'CADOLIVE'!$757:$757</definedName>
    <definedName name="L_2_509" localSheetId="0">'CADOLIVE'!$758:$758</definedName>
    <definedName name="L_2_51" localSheetId="0">'CADOLIVE'!$66:$66</definedName>
    <definedName name="L_2_510" localSheetId="0">'CADOLIVE'!$759:$759</definedName>
    <definedName name="L_2_511" localSheetId="0">'CADOLIVE'!$760:$760</definedName>
    <definedName name="L_2_512" localSheetId="0">'CADOLIVE'!$761:$761</definedName>
    <definedName name="L_2_513" localSheetId="0">'CADOLIVE'!$762:$762</definedName>
    <definedName name="L_2_514" localSheetId="0">'CADOLIVE'!$763:$763</definedName>
    <definedName name="L_2_515" localSheetId="0">'CADOLIVE'!$764:$764</definedName>
    <definedName name="L_2_516" localSheetId="0">'CADOLIVE'!$765:$765</definedName>
    <definedName name="L_2_517" localSheetId="0">'CADOLIVE'!$766:$766</definedName>
    <definedName name="L_2_518" localSheetId="0">'CADOLIVE'!$767:$767</definedName>
    <definedName name="L_2_519" localSheetId="0">'CADOLIVE'!$771:$771</definedName>
    <definedName name="L_2_52" localSheetId="0">'CADOLIVE'!$68:$68</definedName>
    <definedName name="L_2_520" localSheetId="0">'CADOLIVE'!$772:$772</definedName>
    <definedName name="L_2_521" localSheetId="0">'CADOLIVE'!$773:$773</definedName>
    <definedName name="L_2_522" localSheetId="0">'CADOLIVE'!$774:$774</definedName>
    <definedName name="L_2_523" localSheetId="0">'CADOLIVE'!$775:$775</definedName>
    <definedName name="L_2_524" localSheetId="0">'CADOLIVE'!$776:$776</definedName>
    <definedName name="L_2_525" localSheetId="0">'CADOLIVE'!$777:$777</definedName>
    <definedName name="L_2_526" localSheetId="0">'CADOLIVE'!$778:$778</definedName>
    <definedName name="L_2_527" localSheetId="0">'CADOLIVE'!$779:$779</definedName>
    <definedName name="L_2_528" localSheetId="0">'CADOLIVE'!$780:$780</definedName>
    <definedName name="L_2_529" localSheetId="0">'CADOLIVE'!$787:$787</definedName>
    <definedName name="L_2_53" localSheetId="0">'CADOLIVE'!$72:$72</definedName>
    <definedName name="L_2_530" localSheetId="0">'CADOLIVE'!$794:$794</definedName>
    <definedName name="L_2_531" localSheetId="0">'CADOLIVE'!$801:$801</definedName>
    <definedName name="L_2_532" localSheetId="0">'CADOLIVE'!$802:$802</definedName>
    <definedName name="L_2_533" localSheetId="0">'CADOLIVE'!$803:$803</definedName>
    <definedName name="L_2_534" localSheetId="0">'CADOLIVE'!$804:$804</definedName>
    <definedName name="L_2_535" localSheetId="0">'CADOLIVE'!$805:$805</definedName>
    <definedName name="L_2_536" localSheetId="0">'CADOLIVE'!$806:$806</definedName>
    <definedName name="L_2_537" localSheetId="0">'CADOLIVE'!$807:$807</definedName>
    <definedName name="L_2_538" localSheetId="0">'CADOLIVE'!$808:$808</definedName>
    <definedName name="L_2_539" localSheetId="0">'CADOLIVE'!$809:$809</definedName>
    <definedName name="L_2_54" localSheetId="0">'CADOLIVE'!$75:$75</definedName>
    <definedName name="L_2_540" localSheetId="0">'CADOLIVE'!$810:$810</definedName>
    <definedName name="L_2_541" localSheetId="0">'CADOLIVE'!$811:$811</definedName>
    <definedName name="L_2_542" localSheetId="0">'CADOLIVE'!$817:$817</definedName>
    <definedName name="L_2_543" localSheetId="0">'CADOLIVE'!$821:$821</definedName>
    <definedName name="L_2_544" localSheetId="0">'CADOLIVE'!$826:$826</definedName>
    <definedName name="L_2_545" localSheetId="0">'CADOLIVE'!$828:$828</definedName>
    <definedName name="L_2_546" localSheetId="0">'CADOLIVE'!$829:$829</definedName>
    <definedName name="L_2_547" localSheetId="0">'CADOLIVE'!$830:$830</definedName>
    <definedName name="L_2_548" localSheetId="0">'CADOLIVE'!$831:$831</definedName>
    <definedName name="L_2_549" localSheetId="0">'CADOLIVE'!$832:$832</definedName>
    <definedName name="L_2_55" localSheetId="0">'CADOLIVE'!$80:$80</definedName>
    <definedName name="L_2_550" localSheetId="0">'CADOLIVE'!$833:$833</definedName>
    <definedName name="L_2_551" localSheetId="0">'CADOLIVE'!$834:$834</definedName>
    <definedName name="L_2_552" localSheetId="0">'CADOLIVE'!$835:$835</definedName>
    <definedName name="L_2_553" localSheetId="0">'CADOLIVE'!$836:$836</definedName>
    <definedName name="L_2_554" localSheetId="0">'CADOLIVE'!$837:$837</definedName>
    <definedName name="L_2_555" localSheetId="0">'CADOLIVE'!$838:$838</definedName>
    <definedName name="L_2_556" localSheetId="0">'CADOLIVE'!$841:$841</definedName>
    <definedName name="L_2_557" localSheetId="0">'CADOLIVE'!$846:$846</definedName>
    <definedName name="L_2_558" localSheetId="0">'CADOLIVE'!$847:$847</definedName>
    <definedName name="L_2_559" localSheetId="0">'CADOLIVE'!$848:$848</definedName>
    <definedName name="L_2_56" localSheetId="0">'CADOLIVE'!$83:$83</definedName>
    <definedName name="L_2_560" localSheetId="0">'CADOLIVE'!$849:$849</definedName>
    <definedName name="L_2_561" localSheetId="0">'CADOLIVE'!$850:$850</definedName>
    <definedName name="L_2_562" localSheetId="0">'CADOLIVE'!$851:$851</definedName>
    <definedName name="L_2_563" localSheetId="0">'CADOLIVE'!$852:$852</definedName>
    <definedName name="L_2_564" localSheetId="0">'CADOLIVE'!$853:$853</definedName>
    <definedName name="L_2_565" localSheetId="0">'CADOLIVE'!$854:$854</definedName>
    <definedName name="L_2_566" localSheetId="0">'CADOLIVE'!$855:$855</definedName>
    <definedName name="L_2_567" localSheetId="0">'CADOLIVE'!$858:$858</definedName>
    <definedName name="L_2_568" localSheetId="0">'CADOLIVE'!$859:$859</definedName>
    <definedName name="L_2_569" localSheetId="0">'CADOLIVE'!$860:$860</definedName>
    <definedName name="L_2_57" localSheetId="0">'CADOLIVE'!$85:$85</definedName>
    <definedName name="L_2_570" localSheetId="0">'CADOLIVE'!$861:$861</definedName>
    <definedName name="L_2_571" localSheetId="0">'CADOLIVE'!$862:$862</definedName>
    <definedName name="L_2_572" localSheetId="0">'CADOLIVE'!$863:$863</definedName>
    <definedName name="L_2_573" localSheetId="0">'CADOLIVE'!$864:$864</definedName>
    <definedName name="L_2_574" localSheetId="0">'CADOLIVE'!$865:$865</definedName>
    <definedName name="L_2_575" localSheetId="0">'CADOLIVE'!$866:$866</definedName>
    <definedName name="L_2_576" localSheetId="0">'CADOLIVE'!$867:$867</definedName>
    <definedName name="L_2_577" localSheetId="0">'CADOLIVE'!$870:$870</definedName>
    <definedName name="L_2_578" localSheetId="0">'CADOLIVE'!$871:$871</definedName>
    <definedName name="L_2_579" localSheetId="0">'CADOLIVE'!$872:$872</definedName>
    <definedName name="L_2_58" localSheetId="0">'CADOLIVE'!$88:$88</definedName>
    <definedName name="L_2_580" localSheetId="0">'CADOLIVE'!$873:$873</definedName>
    <definedName name="L_2_581" localSheetId="0">'CADOLIVE'!$874:$874</definedName>
    <definedName name="L_2_582" localSheetId="0">'CADOLIVE'!$875:$875</definedName>
    <definedName name="L_2_583" localSheetId="0">'CADOLIVE'!$876:$876</definedName>
    <definedName name="L_2_584" localSheetId="0">'CADOLIVE'!$877:$877</definedName>
    <definedName name="L_2_585" localSheetId="0">'CADOLIVE'!$878:$878</definedName>
    <definedName name="L_2_586" localSheetId="0">'CADOLIVE'!$879:$879</definedName>
    <definedName name="L_2_587" localSheetId="0">'CADOLIVE'!$880:$880</definedName>
    <definedName name="L_2_588" localSheetId="0">'CADOLIVE'!$881:$881</definedName>
    <definedName name="L_2_589" localSheetId="0">'CADOLIVE'!$882:$882</definedName>
    <definedName name="L_2_59" localSheetId="0">'CADOLIVE'!$89:$89</definedName>
    <definedName name="L_2_590" localSheetId="0">'CADOLIVE'!$883:$883</definedName>
    <definedName name="L_2_591" localSheetId="0">'CADOLIVE'!$884:$884</definedName>
    <definedName name="L_2_592" localSheetId="0">'CADOLIVE'!$887:$887</definedName>
    <definedName name="L_2_593" localSheetId="0">'CADOLIVE'!$890:$890</definedName>
    <definedName name="L_2_594" localSheetId="0">'CADOLIVE'!$892:$892</definedName>
    <definedName name="L_2_595" localSheetId="0">'CADOLIVE'!$893:$893</definedName>
    <definedName name="L_2_596" localSheetId="0">'CADOLIVE'!$894:$894</definedName>
    <definedName name="L_2_597" localSheetId="0">'CADOLIVE'!$895:$895</definedName>
    <definedName name="L_2_598" localSheetId="0">'CADOLIVE'!$896:$896</definedName>
    <definedName name="L_2_599" localSheetId="0">'CADOLIVE'!$897:$897</definedName>
    <definedName name="L_2_6" localSheetId="0">'CADOLIVE'!$7:$7</definedName>
    <definedName name="L_2_60" localSheetId="0">'CADOLIVE'!$90:$90</definedName>
    <definedName name="L_2_600" localSheetId="0">'CADOLIVE'!$898:$898</definedName>
    <definedName name="L_2_601" localSheetId="0">'CADOLIVE'!$899:$899</definedName>
    <definedName name="L_2_602" localSheetId="0">'CADOLIVE'!$900:$900</definedName>
    <definedName name="L_2_603" localSheetId="0">'CADOLIVE'!$901:$901</definedName>
    <definedName name="L_2_604" localSheetId="0">'CADOLIVE'!$902:$902</definedName>
    <definedName name="L_2_605" localSheetId="0">'CADOLIVE'!$903:$903</definedName>
    <definedName name="L_2_606" localSheetId="0">'CADOLIVE'!$904:$904</definedName>
    <definedName name="L_2_607" localSheetId="0">'CADOLIVE'!$905:$905</definedName>
    <definedName name="L_2_608" localSheetId="0">'CADOLIVE'!$906:$906</definedName>
    <definedName name="L_2_609" localSheetId="0">'CADOLIVE'!$910:$910</definedName>
    <definedName name="L_2_61" localSheetId="0">'CADOLIVE'!$91:$91</definedName>
    <definedName name="L_2_610" localSheetId="0">'CADOLIVE'!$911:$911</definedName>
    <definedName name="L_2_611" localSheetId="0">'CADOLIVE'!$912:$912</definedName>
    <definedName name="L_2_612" localSheetId="0">'CADOLIVE'!$913:$913</definedName>
    <definedName name="L_2_613" localSheetId="0">'CADOLIVE'!$914:$914</definedName>
    <definedName name="L_2_614" localSheetId="0">'CADOLIVE'!$915:$915</definedName>
    <definedName name="L_2_615" localSheetId="0">'CADOLIVE'!$916:$916</definedName>
    <definedName name="L_2_616" localSheetId="0">'CADOLIVE'!$917:$917</definedName>
    <definedName name="L_2_617" localSheetId="0">'CADOLIVE'!$918:$918</definedName>
    <definedName name="L_2_618" localSheetId="0">'CADOLIVE'!$919:$919</definedName>
    <definedName name="L_2_619" localSheetId="0">'CADOLIVE'!$920:$920</definedName>
    <definedName name="L_2_62" localSheetId="0">'CADOLIVE'!$92:$92</definedName>
    <definedName name="L_2_620" localSheetId="0">'CADOLIVE'!$921:$921</definedName>
    <definedName name="L_2_621" localSheetId="0">'CADOLIVE'!$922:$922</definedName>
    <definedName name="L_2_622" localSheetId="0">'CADOLIVE'!$923:$923</definedName>
    <definedName name="L_2_623" localSheetId="0">'CADOLIVE'!$924:$924</definedName>
    <definedName name="L_2_624" localSheetId="0">'CADOLIVE'!$925:$925</definedName>
    <definedName name="L_2_625" localSheetId="0">'CADOLIVE'!$926:$926</definedName>
    <definedName name="L_2_626" localSheetId="0">'CADOLIVE'!$927:$927</definedName>
    <definedName name="L_2_627" localSheetId="0">'CADOLIVE'!$928:$928</definedName>
    <definedName name="L_2_628" localSheetId="0">'CADOLIVE'!$929:$929</definedName>
    <definedName name="L_2_629" localSheetId="0">'CADOLIVE'!$933:$933</definedName>
    <definedName name="L_2_63" localSheetId="0">'CADOLIVE'!$93:$93</definedName>
    <definedName name="L_2_630" localSheetId="0">'CADOLIVE'!$934:$934</definedName>
    <definedName name="L_2_631" localSheetId="0">'CADOLIVE'!$935:$935</definedName>
    <definedName name="L_2_632" localSheetId="0">'CADOLIVE'!$936:$936</definedName>
    <definedName name="L_2_633" localSheetId="0">'CADOLIVE'!$937:$937</definedName>
    <definedName name="L_2_634" localSheetId="0">'CADOLIVE'!$938:$938</definedName>
    <definedName name="L_2_635" localSheetId="0">'CADOLIVE'!$939:$939</definedName>
    <definedName name="L_2_636" localSheetId="0">'CADOLIVE'!$940:$940</definedName>
    <definedName name="L_2_637" localSheetId="0">'CADOLIVE'!$941:$941</definedName>
    <definedName name="L_2_638" localSheetId="0">'CADOLIVE'!$942:$942</definedName>
    <definedName name="L_2_639" localSheetId="0">'CADOLIVE'!$943:$943</definedName>
    <definedName name="L_2_64" localSheetId="0">'CADOLIVE'!$94:$94</definedName>
    <definedName name="L_2_640" localSheetId="0">'CADOLIVE'!$944:$944</definedName>
    <definedName name="L_2_641" localSheetId="0">'CADOLIVE'!$945:$945</definedName>
    <definedName name="L_2_642" localSheetId="0">'CADOLIVE'!$949:$949</definedName>
    <definedName name="L_2_643" localSheetId="0">'CADOLIVE'!$950:$950</definedName>
    <definedName name="L_2_644" localSheetId="0">'CADOLIVE'!$951:$951</definedName>
    <definedName name="L_2_645" localSheetId="0">'CADOLIVE'!$952:$952</definedName>
    <definedName name="L_2_646" localSheetId="0">'CADOLIVE'!$953:$953</definedName>
    <definedName name="L_2_647" localSheetId="0">'CADOLIVE'!$954:$954</definedName>
    <definedName name="L_2_648" localSheetId="0">'CADOLIVE'!$955:$955</definedName>
    <definedName name="L_2_649" localSheetId="0">'CADOLIVE'!$956:$956</definedName>
    <definedName name="L_2_65" localSheetId="0">'CADOLIVE'!$100:$100</definedName>
    <definedName name="L_2_650" localSheetId="0">'CADOLIVE'!$957:$957</definedName>
    <definedName name="L_2_651" localSheetId="0">'CADOLIVE'!$958:$958</definedName>
    <definedName name="L_2_652" localSheetId="0">'CADOLIVE'!$959:$959</definedName>
    <definedName name="L_2_653" localSheetId="0">'CADOLIVE'!$962:$962</definedName>
    <definedName name="L_2_654" localSheetId="0">'CADOLIVE'!$963:$963</definedName>
    <definedName name="L_2_655" localSheetId="0">'CADOLIVE'!$964:$964</definedName>
    <definedName name="L_2_656" localSheetId="0">'CADOLIVE'!$965:$965</definedName>
    <definedName name="L_2_657" localSheetId="0">'CADOLIVE'!$966:$966</definedName>
    <definedName name="L_2_658" localSheetId="0">'CADOLIVE'!$967:$967</definedName>
    <definedName name="L_2_659" localSheetId="0">'CADOLIVE'!$968:$968</definedName>
    <definedName name="L_2_66" localSheetId="0">'CADOLIVE'!$101:$101</definedName>
    <definedName name="L_2_660" localSheetId="0">'CADOLIVE'!$969:$969</definedName>
    <definedName name="L_2_661" localSheetId="0">'CADOLIVE'!$970:$970</definedName>
    <definedName name="L_2_662" localSheetId="0">'CADOLIVE'!$971:$971</definedName>
    <definedName name="L_2_663" localSheetId="0">'CADOLIVE'!$972:$972</definedName>
    <definedName name="L_2_664" localSheetId="0">'CADOLIVE'!$977:$977</definedName>
    <definedName name="L_2_665" localSheetId="0">'CADOLIVE'!$978:$978</definedName>
    <definedName name="L_2_666" localSheetId="0">'CADOLIVE'!$979:$979</definedName>
    <definedName name="L_2_667" localSheetId="0">'CADOLIVE'!$980:$980</definedName>
    <definedName name="L_2_668" localSheetId="0">'CADOLIVE'!$981:$981</definedName>
    <definedName name="L_2_669" localSheetId="0">'CADOLIVE'!$982:$982</definedName>
    <definedName name="L_2_67" localSheetId="0">'CADOLIVE'!$102:$102</definedName>
    <definedName name="L_2_670" localSheetId="0">'CADOLIVE'!$983:$983</definedName>
    <definedName name="L_2_671" localSheetId="0">'CADOLIVE'!$984:$984</definedName>
    <definedName name="L_2_672" localSheetId="0">'CADOLIVE'!$985:$985</definedName>
    <definedName name="L_2_673" localSheetId="0">'CADOLIVE'!$986:$986</definedName>
    <definedName name="L_2_674" localSheetId="0">'CADOLIVE'!$987:$987</definedName>
    <definedName name="L_2_675" localSheetId="0">'CADOLIVE'!$988:$988</definedName>
    <definedName name="L_2_676" localSheetId="0">'CADOLIVE'!$989:$989</definedName>
    <definedName name="L_2_677" localSheetId="0">'CADOLIVE'!$990:$990</definedName>
    <definedName name="L_2_678" localSheetId="0">'CADOLIVE'!$991:$991</definedName>
    <definedName name="L_2_679" localSheetId="0">'CADOLIVE'!$992:$992</definedName>
    <definedName name="L_2_68" localSheetId="0">'CADOLIVE'!$103:$103</definedName>
    <definedName name="L_2_680" localSheetId="0">'CADOLIVE'!$993:$993</definedName>
    <definedName name="L_2_681" localSheetId="0">'CADOLIVE'!$994:$994</definedName>
    <definedName name="L_2_682" localSheetId="0">'CADOLIVE'!$997:$997</definedName>
    <definedName name="L_2_683" localSheetId="0">'CADOLIVE'!$998:$998</definedName>
    <definedName name="L_2_684" localSheetId="0">'CADOLIVE'!$999:$999</definedName>
    <definedName name="L_2_685" localSheetId="0">'CADOLIVE'!$1000:$1000</definedName>
    <definedName name="L_2_686" localSheetId="0">'CADOLIVE'!$1001:$1001</definedName>
    <definedName name="L_2_687" localSheetId="0">'CADOLIVE'!$1002:$1002</definedName>
    <definedName name="L_2_688" localSheetId="0">'CADOLIVE'!$1003:$1003</definedName>
    <definedName name="L_2_689" localSheetId="0">'CADOLIVE'!$1004:$1004</definedName>
    <definedName name="L_2_69" localSheetId="0">'CADOLIVE'!$104:$104</definedName>
    <definedName name="L_2_690" localSheetId="0">'CADOLIVE'!$1005:$1005</definedName>
    <definedName name="L_2_691" localSheetId="0">'CADOLIVE'!$1008:$1008</definedName>
    <definedName name="L_2_692" localSheetId="0">'CADOLIVE'!$1009:$1009</definedName>
    <definedName name="L_2_693" localSheetId="0">'CADOLIVE'!$1010:$1010</definedName>
    <definedName name="L_2_694" localSheetId="0">'CADOLIVE'!$1011:$1011</definedName>
    <definedName name="L_2_695" localSheetId="0">'CADOLIVE'!$1012:$1012</definedName>
    <definedName name="L_2_696" localSheetId="0">'CADOLIVE'!$1013:$1013</definedName>
    <definedName name="L_2_697" localSheetId="0">'CADOLIVE'!$1017:$1017</definedName>
    <definedName name="L_2_698" localSheetId="0">'CADOLIVE'!$1018:$1018</definedName>
    <definedName name="L_2_699" localSheetId="0">'CADOLIVE'!$1019:$1019</definedName>
    <definedName name="L_2_7" localSheetId="0">'CADOLIVE'!$8:$8</definedName>
    <definedName name="L_2_70" localSheetId="0">'CADOLIVE'!$105:$105</definedName>
    <definedName name="L_2_700" localSheetId="0">'CADOLIVE'!$1020:$1020</definedName>
    <definedName name="L_2_701" localSheetId="0">'CADOLIVE'!$1021:$1021</definedName>
    <definedName name="L_2_702" localSheetId="0">'CADOLIVE'!$1022:$1022</definedName>
    <definedName name="L_2_703" localSheetId="0">'CADOLIVE'!$1023:$1023</definedName>
    <definedName name="L_2_704" localSheetId="0">'CADOLIVE'!$1024:$1024</definedName>
    <definedName name="L_2_705" localSheetId="0">'CADOLIVE'!$1025:$1025</definedName>
    <definedName name="L_2_706" localSheetId="0">'CADOLIVE'!$1026:$1026</definedName>
    <definedName name="L_2_707" localSheetId="0">'CADOLIVE'!$1027:$1027</definedName>
    <definedName name="L_2_708" localSheetId="0">'CADOLIVE'!$1028:$1028</definedName>
    <definedName name="L_2_709" localSheetId="0">'CADOLIVE'!$1029:$1029</definedName>
    <definedName name="L_2_71" localSheetId="0">'CADOLIVE'!$106:$106</definedName>
    <definedName name="L_2_710" localSheetId="0">'CADOLIVE'!$1030:$1030</definedName>
    <definedName name="L_2_711" localSheetId="0">'CADOLIVE'!$1031:$1031</definedName>
    <definedName name="L_2_712" localSheetId="0">'CADOLIVE'!$1032:$1032</definedName>
    <definedName name="L_2_713" localSheetId="0">'CADOLIVE'!$1033:$1033</definedName>
    <definedName name="L_2_714" localSheetId="0">'CADOLIVE'!$1034:$1034</definedName>
    <definedName name="L_2_715" localSheetId="0">'CADOLIVE'!$1035:$1035</definedName>
    <definedName name="L_2_716" localSheetId="0">'CADOLIVE'!$1036:$1036</definedName>
    <definedName name="L_2_717" localSheetId="0">'CADOLIVE'!$1043:$1043</definedName>
    <definedName name="L_2_718" localSheetId="0">'CADOLIVE'!$1044:$1044</definedName>
    <definedName name="L_2_719" localSheetId="0">'CADOLIVE'!$1045:$1045</definedName>
    <definedName name="L_2_72" localSheetId="0">'CADOLIVE'!$107:$107</definedName>
    <definedName name="L_2_720" localSheetId="0">'CADOLIVE'!$1046:$1046</definedName>
    <definedName name="L_2_721" localSheetId="0">'CADOLIVE'!$1047:$1047</definedName>
    <definedName name="L_2_722" localSheetId="0">'CADOLIVE'!$1048:$1048</definedName>
    <definedName name="L_2_723" localSheetId="0">'CADOLIVE'!$1049:$1049</definedName>
    <definedName name="L_2_724" localSheetId="0">'CADOLIVE'!$1051:$1051</definedName>
    <definedName name="L_2_725" localSheetId="0">'CADOLIVE'!$1052:$1052</definedName>
    <definedName name="L_2_726" localSheetId="0">'CADOLIVE'!$1053:$1053</definedName>
    <definedName name="L_2_727" localSheetId="0">'CADOLIVE'!$1054:$1054</definedName>
    <definedName name="L_2_728" localSheetId="0">'CADOLIVE'!$1055:$1055</definedName>
    <definedName name="L_2_729" localSheetId="0">'CADOLIVE'!$1056:$1056</definedName>
    <definedName name="L_2_73" localSheetId="0">'CADOLIVE'!$108:$108</definedName>
    <definedName name="L_2_730" localSheetId="0">'CADOLIVE'!$1057:$1057</definedName>
    <definedName name="L_2_731" localSheetId="0">'CADOLIVE'!$1059:$1059</definedName>
    <definedName name="L_2_732" localSheetId="0">'CADOLIVE'!$1060:$1060</definedName>
    <definedName name="L_2_733" localSheetId="0">'CADOLIVE'!$1061:$1061</definedName>
    <definedName name="L_2_734" localSheetId="0">'CADOLIVE'!$1062:$1062</definedName>
    <definedName name="L_2_735" localSheetId="0">'CADOLIVE'!$1063:$1063</definedName>
    <definedName name="L_2_736" localSheetId="0">'CADOLIVE'!$1064:$1064</definedName>
    <definedName name="L_2_737" localSheetId="0">'CADOLIVE'!$1065:$1065</definedName>
    <definedName name="L_2_738" localSheetId="0">'CADOLIVE'!$1066:$1066</definedName>
    <definedName name="L_2_739" localSheetId="0">'CADOLIVE'!$1068:$1068</definedName>
    <definedName name="L_2_74" localSheetId="0">'CADOLIVE'!$121:$121</definedName>
    <definedName name="L_2_740" localSheetId="0">'CADOLIVE'!$1069:$1069</definedName>
    <definedName name="L_2_741" localSheetId="0">'CADOLIVE'!$1070:$1070</definedName>
    <definedName name="L_2_742" localSheetId="0">'CADOLIVE'!$1072:$1072</definedName>
    <definedName name="L_2_743" localSheetId="0">'CADOLIVE'!$1073:$1073</definedName>
    <definedName name="L_2_744" localSheetId="0">'CADOLIVE'!$1074:$1074</definedName>
    <definedName name="L_2_745" localSheetId="0">'CADOLIVE'!$1075:$1075</definedName>
    <definedName name="L_2_746" localSheetId="0">'CADOLIVE'!$1076:$1076</definedName>
    <definedName name="L_2_747" localSheetId="0">'CADOLIVE'!$1078:$1078</definedName>
    <definedName name="L_2_748" localSheetId="0">'CADOLIVE'!$1079:$1079</definedName>
    <definedName name="L_2_749" localSheetId="0">'CADOLIVE'!$1080:$1080</definedName>
    <definedName name="L_2_75" localSheetId="0">'CADOLIVE'!$122:$122</definedName>
    <definedName name="L_2_750" localSheetId="0">'CADOLIVE'!$1081:$1081</definedName>
    <definedName name="L_2_751" localSheetId="0">'CADOLIVE'!$1082:$1082</definedName>
    <definedName name="L_2_752" localSheetId="0">'CADOLIVE'!$1083:$1083</definedName>
    <definedName name="L_2_753" localSheetId="0">'CADOLIVE'!$1085:$1085</definedName>
    <definedName name="L_2_754" localSheetId="0">'CADOLIVE'!$1086:$1086</definedName>
    <definedName name="L_2_755" localSheetId="0">'CADOLIVE'!$1087:$1087</definedName>
    <definedName name="L_2_756" localSheetId="0">'CADOLIVE'!$1088:$1088</definedName>
    <definedName name="L_2_757" localSheetId="0">'CADOLIVE'!$1089:$1089</definedName>
    <definedName name="L_2_758" localSheetId="0">'CADOLIVE'!$1090:$1090</definedName>
    <definedName name="L_2_759" localSheetId="0">'CADOLIVE'!$1091:$1091</definedName>
    <definedName name="L_2_76" localSheetId="0">'CADOLIVE'!$123:$123</definedName>
    <definedName name="L_2_760" localSheetId="0">'CADOLIVE'!$1092:$1092</definedName>
    <definedName name="L_2_761" localSheetId="0">'CADOLIVE'!$1093:$1093</definedName>
    <definedName name="L_2_762" localSheetId="0">'CADOLIVE'!$1094:$1094</definedName>
    <definedName name="L_2_763" localSheetId="0">'CADOLIVE'!$1095:$1095</definedName>
    <definedName name="L_2_764" localSheetId="0">'CADOLIVE'!$1097:$1097</definedName>
    <definedName name="L_2_765" localSheetId="0">'CADOLIVE'!$1098:$1098</definedName>
    <definedName name="L_2_766" localSheetId="0">'CADOLIVE'!$1099:$1099</definedName>
    <definedName name="L_2_767" localSheetId="0">'CADOLIVE'!$1100:$1100</definedName>
    <definedName name="L_2_768" localSheetId="0">'CADOLIVE'!$1101:$1101</definedName>
    <definedName name="L_2_769" localSheetId="0">'CADOLIVE'!$1102:$1102</definedName>
    <definedName name="L_2_77" localSheetId="0">'CADOLIVE'!$124:$124</definedName>
    <definedName name="L_2_770" localSheetId="0">'CADOLIVE'!$1104:$1104</definedName>
    <definedName name="L_2_771" localSheetId="0">'CADOLIVE'!$1105:$1105</definedName>
    <definedName name="L_2_772" localSheetId="0">'CADOLIVE'!$1106:$1106</definedName>
    <definedName name="L_2_773" localSheetId="0">'CADOLIVE'!$1107:$1107</definedName>
    <definedName name="L_2_774" localSheetId="0">'CADOLIVE'!$1108:$1108</definedName>
    <definedName name="L_2_775" localSheetId="0">'CADOLIVE'!$1109:$1109</definedName>
    <definedName name="L_2_776" localSheetId="0">'CADOLIVE'!$1110:$1110</definedName>
    <definedName name="L_2_777" localSheetId="0">'CADOLIVE'!$1111:$1111</definedName>
    <definedName name="L_2_778" localSheetId="0">'CADOLIVE'!$1113:$1113</definedName>
    <definedName name="L_2_779" localSheetId="0">'CADOLIVE'!$1114:$1114</definedName>
    <definedName name="L_2_78" localSheetId="0">'CADOLIVE'!$125:$125</definedName>
    <definedName name="L_2_780" localSheetId="0">'CADOLIVE'!$1115:$1115</definedName>
    <definedName name="L_2_781" localSheetId="0">'CADOLIVE'!$1116:$1116</definedName>
    <definedName name="L_2_782" localSheetId="0">'CADOLIVE'!$1117:$1117</definedName>
    <definedName name="L_2_783" localSheetId="0">'CADOLIVE'!$1118:$1118</definedName>
    <definedName name="L_2_784" localSheetId="0">'CADOLIVE'!$1119:$1119</definedName>
    <definedName name="L_2_785" localSheetId="0">'CADOLIVE'!$1120:$1120</definedName>
    <definedName name="L_2_786" localSheetId="0">'CADOLIVE'!$1121:$1121</definedName>
    <definedName name="L_2_787" localSheetId="0">'CADOLIVE'!$1122:$1122</definedName>
    <definedName name="L_2_788" localSheetId="0">'CADOLIVE'!$1123:$1123</definedName>
    <definedName name="L_2_789" localSheetId="0">'CADOLIVE'!$1124:$1124</definedName>
    <definedName name="L_2_79" localSheetId="0">'CADOLIVE'!$126:$126</definedName>
    <definedName name="L_2_790" localSheetId="0">'CADOLIVE'!$1125:$1125</definedName>
    <definedName name="L_2_791" localSheetId="0">'CADOLIVE'!$1126:$1126</definedName>
    <definedName name="L_2_792" localSheetId="0">'CADOLIVE'!$1127:$1127</definedName>
    <definedName name="L_2_793" localSheetId="0">'CADOLIVE'!$1128:$1128</definedName>
    <definedName name="L_2_794" localSheetId="0">'CADOLIVE'!$1129:$1129</definedName>
    <definedName name="L_2_795" localSheetId="0">'CADOLIVE'!$1130:$1130</definedName>
    <definedName name="L_2_796" localSheetId="0">'CADOLIVE'!$1131:$1131</definedName>
    <definedName name="L_2_797" localSheetId="0">'CADOLIVE'!$1135:$1135</definedName>
    <definedName name="L_2_798" localSheetId="0">'CADOLIVE'!$1139:$1139</definedName>
    <definedName name="L_2_799" localSheetId="0">'CADOLIVE'!$1140:$1140</definedName>
    <definedName name="L_2_8" localSheetId="0">'CADOLIVE'!$9:$9</definedName>
    <definedName name="L_2_80" localSheetId="0">'CADOLIVE'!$127:$127</definedName>
    <definedName name="L_2_800" localSheetId="0">'CADOLIVE'!$1141:$1141</definedName>
    <definedName name="L_2_801" localSheetId="0">'CADOLIVE'!$1142:$1142</definedName>
    <definedName name="L_2_802" localSheetId="0">'CADOLIVE'!$1143:$1143</definedName>
    <definedName name="L_2_803" localSheetId="0">'CADOLIVE'!$1144:$1144</definedName>
    <definedName name="L_2_804" localSheetId="0">'CADOLIVE'!$1145:$1145</definedName>
    <definedName name="L_2_805" localSheetId="0">'CADOLIVE'!$1146:$1146</definedName>
    <definedName name="L_2_806" localSheetId="0">'CADOLIVE'!$1147:$1147</definedName>
    <definedName name="L_2_807" localSheetId="0">'CADOLIVE'!$1156:$1156</definedName>
    <definedName name="L_2_808" localSheetId="0">'CADOLIVE'!$1165:$1165</definedName>
    <definedName name="L_2_809" localSheetId="0">'CADOLIVE'!$1174:$1174</definedName>
    <definedName name="L_2_81" localSheetId="0">'CADOLIVE'!$128:$128</definedName>
    <definedName name="L_2_810" localSheetId="0">'CADOLIVE'!$1175:$1175</definedName>
    <definedName name="L_2_811" localSheetId="0">'CADOLIVE'!$1176:$1176</definedName>
    <definedName name="L_2_812" localSheetId="0">'CADOLIVE'!$1177:$1177</definedName>
    <definedName name="L_2_813" localSheetId="0">'CADOLIVE'!$1178:$1178</definedName>
    <definedName name="L_2_814" localSheetId="0">'CADOLIVE'!$1179:$1179</definedName>
    <definedName name="L_2_815" localSheetId="0">'CADOLIVE'!$1180:$1180</definedName>
    <definedName name="L_2_816" localSheetId="0">'CADOLIVE'!$1181:$1181</definedName>
    <definedName name="L_2_817" localSheetId="0">'CADOLIVE'!$1182:$1182</definedName>
    <definedName name="L_2_818" localSheetId="0">'CADOLIVE'!$1187:$1187</definedName>
    <definedName name="L_2_819" localSheetId="0">'CADOLIVE'!$1192:$1192</definedName>
    <definedName name="L_2_82" localSheetId="0">'CADOLIVE'!$140:$140</definedName>
    <definedName name="L_2_820" localSheetId="0">'CADOLIVE'!$1197:$1197</definedName>
    <definedName name="L_2_821" localSheetId="0">'CADOLIVE'!$1198:$1198</definedName>
    <definedName name="L_2_822" localSheetId="0">'CADOLIVE'!$1199:$1199</definedName>
    <definedName name="L_2_823" localSheetId="0">'CADOLIVE'!$1200:$1200</definedName>
    <definedName name="L_2_824" localSheetId="0">'CADOLIVE'!$1201:$1201</definedName>
    <definedName name="L_2_825" localSheetId="0">'CADOLIVE'!$1202:$1202</definedName>
    <definedName name="L_2_826" localSheetId="0">'CADOLIVE'!$1203:$1203</definedName>
    <definedName name="L_2_827" localSheetId="0">'CADOLIVE'!$1204:$1204</definedName>
    <definedName name="L_2_828" localSheetId="0">'CADOLIVE'!$1205:$1205</definedName>
    <definedName name="L_2_829" localSheetId="0">'CADOLIVE'!$1209:$1209</definedName>
    <definedName name="L_2_83" localSheetId="0">'CADOLIVE'!$141:$141</definedName>
    <definedName name="L_2_830" localSheetId="0">'CADOLIVE'!$1213:$1213</definedName>
    <definedName name="L_2_831" localSheetId="0">'CADOLIVE'!$1217:$1217</definedName>
    <definedName name="L_2_832" localSheetId="0">'CADOLIVE'!$1218:$1218</definedName>
    <definedName name="L_2_833" localSheetId="0">'CADOLIVE'!$1219:$1219</definedName>
    <definedName name="L_2_834" localSheetId="0">'CADOLIVE'!$1220:$1220</definedName>
    <definedName name="L_2_835" localSheetId="0">'CADOLIVE'!$1221:$1221</definedName>
    <definedName name="L_2_836" localSheetId="0">'CADOLIVE'!$1222:$1222</definedName>
    <definedName name="L_2_837" localSheetId="0">'CADOLIVE'!$1223:$1223</definedName>
    <definedName name="L_2_838" localSheetId="0">'CADOLIVE'!$1224:$1224</definedName>
    <definedName name="L_2_839" localSheetId="0">'CADOLIVE'!$1225:$1225</definedName>
    <definedName name="L_2_84" localSheetId="0">'CADOLIVE'!$142:$142</definedName>
    <definedName name="L_2_840" localSheetId="0">'CADOLIVE'!$1230:$1230</definedName>
    <definedName name="L_2_841" localSheetId="0">'CADOLIVE'!$1235:$1235</definedName>
    <definedName name="L_2_842" localSheetId="0">'CADOLIVE'!$1240:$1240</definedName>
    <definedName name="L_2_843" localSheetId="0">'CADOLIVE'!$1241:$1241</definedName>
    <definedName name="L_2_844" localSheetId="0">'CADOLIVE'!$1242:$1242</definedName>
    <definedName name="L_2_845" localSheetId="0">'CADOLIVE'!$1243:$1243</definedName>
    <definedName name="L_2_846" localSheetId="0">'CADOLIVE'!$1244:$1244</definedName>
    <definedName name="L_2_847" localSheetId="0">'CADOLIVE'!$1245:$1245</definedName>
    <definedName name="L_2_848" localSheetId="0">'CADOLIVE'!$1246:$1246</definedName>
    <definedName name="L_2_849" localSheetId="0">'CADOLIVE'!$1247:$1247</definedName>
    <definedName name="L_2_85" localSheetId="0">'CADOLIVE'!$143:$143</definedName>
    <definedName name="L_2_850" localSheetId="0">'CADOLIVE'!$1248:$1248</definedName>
    <definedName name="L_2_851" localSheetId="0">'CADOLIVE'!$1253:$1253</definedName>
    <definedName name="L_2_852" localSheetId="0">'CADOLIVE'!$1258:$1258</definedName>
    <definedName name="L_2_853" localSheetId="0">'CADOLIVE'!$1264:$1264</definedName>
    <definedName name="L_2_854" localSheetId="0">'CADOLIVE'!$1265:$1265</definedName>
    <definedName name="L_2_855" localSheetId="0">'CADOLIVE'!$1266:$1266</definedName>
    <definedName name="L_2_856" localSheetId="0">'CADOLIVE'!$1267:$1267</definedName>
    <definedName name="L_2_857" localSheetId="0">'CADOLIVE'!$1268:$1268</definedName>
    <definedName name="L_2_858" localSheetId="0">'CADOLIVE'!$1269:$1269</definedName>
    <definedName name="L_2_859" localSheetId="0">'CADOLIVE'!$1270:$1270</definedName>
    <definedName name="L_2_86" localSheetId="0">'CADOLIVE'!$144:$144</definedName>
    <definedName name="L_2_860" localSheetId="0">'CADOLIVE'!$1271:$1271</definedName>
    <definedName name="L_2_861" localSheetId="0">'CADOLIVE'!$1272:$1272</definedName>
    <definedName name="L_2_862" localSheetId="0">'CADOLIVE'!$1276:$1276</definedName>
    <definedName name="L_2_863" localSheetId="0">'CADOLIVE'!$1277:$1277</definedName>
    <definedName name="L_2_864" localSheetId="0">'CADOLIVE'!$1278:$1278</definedName>
    <definedName name="L_2_865" localSheetId="0">'CADOLIVE'!$1279:$1279</definedName>
    <definedName name="L_2_866" localSheetId="0">'CADOLIVE'!$1280:$1280</definedName>
    <definedName name="L_2_867" localSheetId="0">'CADOLIVE'!$1281:$1281</definedName>
    <definedName name="L_2_868" localSheetId="0">'CADOLIVE'!$1282:$1282</definedName>
    <definedName name="L_2_869" localSheetId="0">'CADOLIVE'!$1283:$1283</definedName>
    <definedName name="L_2_87" localSheetId="0">'CADOLIVE'!$145:$145</definedName>
    <definedName name="L_2_870" localSheetId="0">'CADOLIVE'!$1284:$1284</definedName>
    <definedName name="L_2_871" localSheetId="0">'CADOLIVE'!$1292:$1292</definedName>
    <definedName name="L_2_872" localSheetId="0">'CADOLIVE'!$1300:$1300</definedName>
    <definedName name="L_2_873" localSheetId="0">'CADOLIVE'!$1308:$1308</definedName>
    <definedName name="L_2_874" localSheetId="0">'CADOLIVE'!$1314:$1314</definedName>
    <definedName name="L_2_875" localSheetId="0">'CADOLIVE'!$1315:$1315</definedName>
    <definedName name="L_2_876" localSheetId="0">'CADOLIVE'!$1316:$1316</definedName>
    <definedName name="L_2_877" localSheetId="0">'CADOLIVE'!$1317:$1317</definedName>
    <definedName name="L_2_878" localSheetId="0">'CADOLIVE'!$1318:$1318</definedName>
    <definedName name="L_2_879" localSheetId="0">'CADOLIVE'!$1319:$1319</definedName>
    <definedName name="L_2_88" localSheetId="0">'CADOLIVE'!$146:$146</definedName>
    <definedName name="L_2_880" localSheetId="0">'CADOLIVE'!$1320:$1320</definedName>
    <definedName name="L_2_881" localSheetId="0">'CADOLIVE'!$1321:$1321</definedName>
    <definedName name="L_2_882" localSheetId="0">'CADOLIVE'!$1328:$1328</definedName>
    <definedName name="L_2_883" localSheetId="0">'CADOLIVE'!$1329:$1329</definedName>
    <definedName name="L_2_884" localSheetId="0">'CADOLIVE'!$1330:$1330</definedName>
    <definedName name="L_2_885" localSheetId="0">'CADOLIVE'!$1331:$1331</definedName>
    <definedName name="L_2_886" localSheetId="0">'CADOLIVE'!$1332:$1332</definedName>
    <definedName name="L_2_887" localSheetId="0">'CADOLIVE'!$1333:$1333</definedName>
    <definedName name="L_2_888" localSheetId="0">'CADOLIVE'!$1334:$1334</definedName>
    <definedName name="L_2_889" localSheetId="0">'CADOLIVE'!$1335:$1335</definedName>
    <definedName name="L_2_89" localSheetId="0">'CADOLIVE'!$153:$153</definedName>
    <definedName name="L_2_890" localSheetId="0">'CADOLIVE'!$1336:$1336</definedName>
    <definedName name="L_2_891" localSheetId="0">'CADOLIVE'!$1339:$1339</definedName>
    <definedName name="L_2_892" localSheetId="0">'CADOLIVE'!$1342:$1342</definedName>
    <definedName name="L_2_893" localSheetId="0">'CADOLIVE'!$1346:$1346</definedName>
    <definedName name="L_2_894" localSheetId="0">'CADOLIVE'!$1347:$1347</definedName>
    <definedName name="L_2_895" localSheetId="0">'CADOLIVE'!$1348:$1348</definedName>
    <definedName name="L_2_896" localSheetId="0">'CADOLIVE'!$1349:$1349</definedName>
    <definedName name="L_2_897" localSheetId="0">'CADOLIVE'!$1351:$1351</definedName>
    <definedName name="L_2_898" localSheetId="0">'CADOLIVE'!$1352:$1352</definedName>
    <definedName name="L_2_899" localSheetId="0">'CADOLIVE'!$1353:$1353</definedName>
    <definedName name="L_2_9" localSheetId="0">'CADOLIVE'!$10:$10</definedName>
    <definedName name="L_2_90" localSheetId="0">'CADOLIVE'!$154:$154</definedName>
    <definedName name="L_2_900" localSheetId="0">'CADOLIVE'!$1354:$1354</definedName>
    <definedName name="L_2_901" localSheetId="0">'CADOLIVE'!$1355:$1355</definedName>
    <definedName name="L_2_902" localSheetId="0">'CADOLIVE'!$1356:$1356</definedName>
    <definedName name="L_2_903" localSheetId="0">'CADOLIVE'!$1357:$1357</definedName>
    <definedName name="L_2_904" localSheetId="0">'CADOLIVE'!$1359:$1359</definedName>
    <definedName name="L_2_905" localSheetId="0">'CADOLIVE'!$1360:$1360</definedName>
    <definedName name="L_2_906" localSheetId="0">'CADOLIVE'!$1361:$1361</definedName>
    <definedName name="L_2_907" localSheetId="0">'CADOLIVE'!$1362:$1362</definedName>
    <definedName name="L_2_908" localSheetId="0">'CADOLIVE'!$1363:$1363</definedName>
    <definedName name="L_2_909" localSheetId="0">'CADOLIVE'!$1364:$1364</definedName>
    <definedName name="L_2_91" localSheetId="0">'CADOLIVE'!$155:$155</definedName>
    <definedName name="L_2_910" localSheetId="0">'CADOLIVE'!$1365:$1365</definedName>
    <definedName name="L_2_911" localSheetId="0">'CADOLIVE'!$1366:$1366</definedName>
    <definedName name="L_2_912" localSheetId="0">'CADOLIVE'!$1367:$1367</definedName>
    <definedName name="L_2_913" localSheetId="0">'CADOLIVE'!$1368:$1368</definedName>
    <definedName name="L_2_914" localSheetId="0">'CADOLIVE'!$1369:$1369</definedName>
    <definedName name="L_2_915" localSheetId="0">'CADOLIVE'!$1370:$1370</definedName>
    <definedName name="L_2_916" localSheetId="0">'CADOLIVE'!$1371:$1371</definedName>
    <definedName name="L_2_917" localSheetId="0">'CADOLIVE'!$1372:$1372</definedName>
    <definedName name="L_2_918" localSheetId="0">'CADOLIVE'!$1373:$1373</definedName>
    <definedName name="L_2_919" localSheetId="0">'CADOLIVE'!$1378:$1378</definedName>
    <definedName name="L_2_92" localSheetId="0">'CADOLIVE'!$156:$156</definedName>
    <definedName name="L_2_920" localSheetId="0">'CADOLIVE'!$1379:$1379</definedName>
    <definedName name="L_2_921" localSheetId="0">'CADOLIVE'!$1380:$1380</definedName>
    <definedName name="L_2_922" localSheetId="0">'CADOLIVE'!$1381:$1381</definedName>
    <definedName name="L_2_923" localSheetId="0">'CADOLIVE'!$1382:$1382</definedName>
    <definedName name="L_2_924" localSheetId="0">'CADOLIVE'!$1383:$1383</definedName>
    <definedName name="L_2_925" localSheetId="0">'CADOLIVE'!$1384:$1384</definedName>
    <definedName name="L_2_926" localSheetId="0">'CADOLIVE'!$1385:$1385</definedName>
    <definedName name="L_2_927" localSheetId="0">'CADOLIVE'!$1388:$1388</definedName>
    <definedName name="L_2_928" localSheetId="0">'CADOLIVE'!$1389:$1389</definedName>
    <definedName name="L_2_929" localSheetId="0">'CADOLIVE'!$1390:$1390</definedName>
    <definedName name="L_2_93" localSheetId="0">'CADOLIVE'!$157:$157</definedName>
    <definedName name="L_2_930" localSheetId="0">'CADOLIVE'!$1391:$1391</definedName>
    <definedName name="L_2_931" localSheetId="0">'CADOLIVE'!$1392:$1392</definedName>
    <definedName name="L_2_932" localSheetId="0">'CADOLIVE'!$1393:$1393</definedName>
    <definedName name="L_2_933" localSheetId="0">'CADOLIVE'!$1394:$1394</definedName>
    <definedName name="L_2_934" localSheetId="0">'CADOLIVE'!$1395:$1395</definedName>
    <definedName name="L_2_935" localSheetId="0">'CADOLIVE'!$1402:$1402</definedName>
    <definedName name="L_2_936" localSheetId="0">'CADOLIVE'!$1403:$1403</definedName>
    <definedName name="L_2_937" localSheetId="0">'CADOLIVE'!$1404:$1404</definedName>
    <definedName name="L_2_938" localSheetId="0">'CADOLIVE'!$1405:$1405</definedName>
    <definedName name="L_2_939" localSheetId="0">'CADOLIVE'!$1406:$1406</definedName>
    <definedName name="L_2_94" localSheetId="0">'CADOLIVE'!$158:$158</definedName>
    <definedName name="L_2_940" localSheetId="0">'CADOLIVE'!$1407:$1407</definedName>
    <definedName name="L_2_941" localSheetId="0">'CADOLIVE'!$1408:$1408</definedName>
    <definedName name="L_2_942" localSheetId="0">'CADOLIVE'!$1409:$1409</definedName>
    <definedName name="L_2_943" localSheetId="0">'CADOLIVE'!$1410:$1410</definedName>
    <definedName name="L_2_944" localSheetId="0">'CADOLIVE'!$1411:$1411</definedName>
    <definedName name="L_2_945" localSheetId="0">'CADOLIVE'!$1413:$1413</definedName>
    <definedName name="L_2_946" localSheetId="0">'CADOLIVE'!$1418:$1418</definedName>
    <definedName name="L_2_947" localSheetId="0">'CADOLIVE'!$1421:$1421</definedName>
    <definedName name="L_2_948" localSheetId="0">'CADOLIVE'!$1422:$1422</definedName>
    <definedName name="L_2_949" localSheetId="0">'CADOLIVE'!$1423:$1423</definedName>
    <definedName name="L_2_95" localSheetId="0">'CADOLIVE'!$159:$159</definedName>
    <definedName name="L_2_950" localSheetId="0">'CADOLIVE'!$1424:$1424</definedName>
    <definedName name="L_2_951" localSheetId="0">'CADOLIVE'!$1425:$1425</definedName>
    <definedName name="L_2_952" localSheetId="0">'CADOLIVE'!$1426:$1426</definedName>
    <definedName name="L_2_953" localSheetId="0">'CADOLIVE'!$1427:$1427</definedName>
    <definedName name="L_2_954" localSheetId="0">'CADOLIVE'!$1428:$1428</definedName>
    <definedName name="L_2_955" localSheetId="0">'CADOLIVE'!$1429:$1429</definedName>
    <definedName name="L_2_956" localSheetId="0">'CADOLIVE'!$1430:$1430</definedName>
    <definedName name="L_2_957" localSheetId="0">'CADOLIVE'!$1431:$1431</definedName>
    <definedName name="L_2_958" localSheetId="0">'CADOLIVE'!$1432:$1432</definedName>
    <definedName name="L_2_959" localSheetId="0">'CADOLIVE'!$1437:$1437</definedName>
    <definedName name="L_2_96" localSheetId="0">'CADOLIVE'!$169:$169</definedName>
    <definedName name="L_2_960" localSheetId="0">'CADOLIVE'!$1438:$1438</definedName>
    <definedName name="L_2_961" localSheetId="0">'CADOLIVE'!$1439:$1439</definedName>
    <definedName name="L_2_962" localSheetId="0">'CADOLIVE'!$1444:$1444</definedName>
    <definedName name="L_2_963" localSheetId="0">'CADOLIVE'!$1446:$1446</definedName>
    <definedName name="L_2_964" localSheetId="0">'CADOLIVE'!$1448:$1448</definedName>
    <definedName name="L_2_965" localSheetId="0">'CADOLIVE'!$1449:$1449</definedName>
    <definedName name="L_2_966" localSheetId="0">'CADOLIVE'!$1450:$1450</definedName>
    <definedName name="L_2_967" localSheetId="0">'CADOLIVE'!$1451:$1451</definedName>
    <definedName name="L_2_968" localSheetId="0">'CADOLIVE'!$1452:$1452</definedName>
    <definedName name="L_2_969" localSheetId="0">'CADOLIVE'!$1453:$1453</definedName>
    <definedName name="L_2_97" localSheetId="0">'CADOLIVE'!$170:$170</definedName>
    <definedName name="L_2_970" localSheetId="0">'CADOLIVE'!$1454:$1454</definedName>
    <definedName name="L_2_971" localSheetId="0">'CADOLIVE'!$1455:$1455</definedName>
    <definedName name="L_2_972" localSheetId="0">'CADOLIVE'!$1456:$1456</definedName>
    <definedName name="L_2_973" localSheetId="0">'CADOLIVE'!$1461:$1461</definedName>
    <definedName name="L_2_974" localSheetId="0">'CADOLIVE'!$1462:$1462</definedName>
    <definedName name="L_2_975" localSheetId="0">'CADOLIVE'!$1463:$1463</definedName>
    <definedName name="L_2_976" localSheetId="0">'CADOLIVE'!$1464:$1464</definedName>
    <definedName name="L_2_977" localSheetId="0">'CADOLIVE'!$1465:$1465</definedName>
    <definedName name="L_2_978" localSheetId="0">'CADOLIVE'!$1466:$1466</definedName>
    <definedName name="L_2_979" localSheetId="0">'CADOLIVE'!$1467:$1467</definedName>
    <definedName name="L_2_98" localSheetId="0">'CADOLIVE'!$171:$171</definedName>
    <definedName name="L_2_980" localSheetId="0">'CADOLIVE'!$1471:$1471</definedName>
    <definedName name="L_2_981" localSheetId="0">'CADOLIVE'!$1472:$1472</definedName>
    <definedName name="L_2_982" localSheetId="0">'CADOLIVE'!$1473:$1473</definedName>
    <definedName name="L_2_983" localSheetId="0">'CADOLIVE'!$1474:$1474</definedName>
    <definedName name="L_2_984" localSheetId="0">'CADOLIVE'!$1475:$1475</definedName>
    <definedName name="L_2_985" localSheetId="0">'CADOLIVE'!$1476:$1476</definedName>
    <definedName name="L_2_986" localSheetId="0">'CADOLIVE'!$1477:$1477</definedName>
    <definedName name="L_2_987" localSheetId="0">'CADOLIVE'!$1478:$1478</definedName>
    <definedName name="L_2_988" localSheetId="0">'CADOLIVE'!$1480:$1480</definedName>
    <definedName name="L_2_989" localSheetId="0">'CADOLIVE'!$1481:$1481</definedName>
    <definedName name="L_2_99" localSheetId="0">'CADOLIVE'!$172:$172</definedName>
    <definedName name="L_2_990" localSheetId="0">'CADOLIVE'!$1482:$1482</definedName>
    <definedName name="L_2_991" localSheetId="0">'CADOLIVE'!$1483:$1483</definedName>
    <definedName name="L_2_992" localSheetId="0">'CADOLIVE'!$1484:$1484</definedName>
    <definedName name="L_2_993" localSheetId="0">'CADOLIVE'!$1485:$1485</definedName>
    <definedName name="L_2_994" localSheetId="0">'CADOLIVE'!$1486:$1486</definedName>
    <definedName name="L_2_995" localSheetId="0">'CADOLIVE'!$1487:$1487</definedName>
    <definedName name="L_2_996" localSheetId="0">'CADOLIVE'!$1488:$1488</definedName>
    <definedName name="L_2_997" localSheetId="0">'CADOLIVE'!$1489:$1489</definedName>
    <definedName name="L_2_998" localSheetId="0">'CADOLIVE'!$1490:$1490</definedName>
    <definedName name="L_2_999" localSheetId="0">'CADOLIVE'!$1495:$1495</definedName>
    <definedName name="MT" localSheetId="0">'CADOLIVE'!$H:$H</definedName>
    <definedName name="Niv" localSheetId="0">'CADOLIVE'!$A:$A</definedName>
    <definedName name="NumP" localSheetId="0">'CADOLIVE'!$C:$C</definedName>
    <definedName name="P_2_1" localSheetId="0">'CADOLIVE'!$11:$11</definedName>
    <definedName name="P_2_10.a" localSheetId="0">'CADOLIVE'!$129:$129</definedName>
    <definedName name="P_2_10.b" localSheetId="0">'CADOLIVE'!$130:$130</definedName>
    <definedName name="P_2_10.c" localSheetId="0">'CADOLIVE'!$131:$131</definedName>
    <definedName name="P_2_10.d" localSheetId="0">'CADOLIVE'!$132:$132</definedName>
    <definedName name="P_2_10.e" localSheetId="0">'CADOLIVE'!$133:$133</definedName>
    <definedName name="P_2_10.f" localSheetId="0">'CADOLIVE'!$134:$134</definedName>
    <definedName name="P_2_10.g" localSheetId="0">'CADOLIVE'!$135:$135</definedName>
    <definedName name="P_2_10.h" localSheetId="0">'CADOLIVE'!$136:$136</definedName>
    <definedName name="P_2_10.i" localSheetId="0">'CADOLIVE'!$137:$137</definedName>
    <definedName name="P_2_10.j" localSheetId="0">'CADOLIVE'!$138:$138</definedName>
    <definedName name="P_2_10.k" localSheetId="0">'CADOLIVE'!$139:$139</definedName>
    <definedName name="P_2_100" localSheetId="0">'CADOLIVE'!$1263:$1263</definedName>
    <definedName name="P_2_101.a" localSheetId="0">'CADOLIVE'!$1273:$1273</definedName>
    <definedName name="P_2_101.b" localSheetId="0">'CADOLIVE'!$1274:$1274</definedName>
    <definedName name="P_2_101.c" localSheetId="0">'CADOLIVE'!$1275:$1275</definedName>
    <definedName name="P_2_102.a" localSheetId="0">'CADOLIVE'!$1285:$1285</definedName>
    <definedName name="P_2_102.b" localSheetId="0">'CADOLIVE'!$1286:$1286</definedName>
    <definedName name="P_2_102.c" localSheetId="0">'CADOLIVE'!$1287:$1287</definedName>
    <definedName name="P_2_102.d" localSheetId="0">'CADOLIVE'!$1288:$1288</definedName>
    <definedName name="P_2_102.e" localSheetId="0">'CADOLIVE'!$1289:$1289</definedName>
    <definedName name="P_2_102.f" localSheetId="0">'CADOLIVE'!$1290:$1290</definedName>
    <definedName name="P_2_102.g" localSheetId="0">'CADOLIVE'!$1291:$1291</definedName>
    <definedName name="P_2_102.h" localSheetId="0">'CADOLIVE'!$1293:$1293</definedName>
    <definedName name="P_2_102.i" localSheetId="0">'CADOLIVE'!$1294:$1294</definedName>
    <definedName name="P_2_102.j" localSheetId="0">'CADOLIVE'!$1295:$1295</definedName>
    <definedName name="P_2_102.k" localSheetId="0">'CADOLIVE'!$1296:$1296</definedName>
    <definedName name="P_2_102.l" localSheetId="0">'CADOLIVE'!$1297:$1297</definedName>
    <definedName name="P_2_102.m" localSheetId="0">'CADOLIVE'!$1298:$1298</definedName>
    <definedName name="P_2_102.n" localSheetId="0">'CADOLIVE'!$1299:$1299</definedName>
    <definedName name="P_2_102.o" localSheetId="0">'CADOLIVE'!$1301:$1301</definedName>
    <definedName name="P_2_102.p" localSheetId="0">'CADOLIVE'!$1302:$1302</definedName>
    <definedName name="P_2_102.q" localSheetId="0">'CADOLIVE'!$1303:$1303</definedName>
    <definedName name="P_2_102.r" localSheetId="0">'CADOLIVE'!$1304:$1304</definedName>
    <definedName name="P_2_102.s" localSheetId="0">'CADOLIVE'!$1305:$1305</definedName>
    <definedName name="P_2_102.t" localSheetId="0">'CADOLIVE'!$1306:$1306</definedName>
    <definedName name="P_2_102.u" localSheetId="0">'CADOLIVE'!$1307:$1307</definedName>
    <definedName name="P_2_102.v" localSheetId="0">'CADOLIVE'!$1309:$1309</definedName>
    <definedName name="P_2_102.w" localSheetId="0">'CADOLIVE'!$1310:$1310</definedName>
    <definedName name="P_2_102.x" localSheetId="0">'CADOLIVE'!$1311:$1311</definedName>
    <definedName name="P_2_102.y" localSheetId="0">'CADOLIVE'!$1312:$1312</definedName>
    <definedName name="P_2_102.z" localSheetId="0">'CADOLIVE'!$1313:$1313</definedName>
    <definedName name="P_2_103.a" localSheetId="0">'CADOLIVE'!$1322:$1322</definedName>
    <definedName name="P_2_103.b" localSheetId="0">'CADOLIVE'!$1323:$1323</definedName>
    <definedName name="P_2_103.c" localSheetId="0">'CADOLIVE'!$1324:$1324</definedName>
    <definedName name="P_2_103.d" localSheetId="0">'CADOLIVE'!$1325:$1325</definedName>
    <definedName name="P_2_103.e" localSheetId="0">'CADOLIVE'!$1326:$1326</definedName>
    <definedName name="P_2_103.f" localSheetId="0">'CADOLIVE'!$1327:$1327</definedName>
    <definedName name="P_2_104.a" localSheetId="0">'CADOLIVE'!$1337:$1337</definedName>
    <definedName name="P_2_104.b" localSheetId="0">'CADOLIVE'!$1338:$1338</definedName>
    <definedName name="P_2_104.c" localSheetId="0">'CADOLIVE'!$1340:$1340</definedName>
    <definedName name="P_2_104.d" localSheetId="0">'CADOLIVE'!$1341:$1341</definedName>
    <definedName name="P_2_104.e" localSheetId="0">'CADOLIVE'!$1343:$1343</definedName>
    <definedName name="P_2_104.f" localSheetId="0">'CADOLIVE'!$1344:$1344</definedName>
    <definedName name="P_2_105" localSheetId="0">'CADOLIVE'!$1345:$1345</definedName>
    <definedName name="P_2_106" localSheetId="0">'CADOLIVE'!$1350:$1350</definedName>
    <definedName name="P_2_107" localSheetId="0">'CADOLIVE'!$1358:$1358</definedName>
    <definedName name="P_2_108.a" localSheetId="0">'CADOLIVE'!$1374:$1374</definedName>
    <definedName name="P_2_108.b" localSheetId="0">'CADOLIVE'!$1375:$1375</definedName>
    <definedName name="P_2_108.c" localSheetId="0">'CADOLIVE'!$1376:$1376</definedName>
    <definedName name="P_2_108.d" localSheetId="0">'CADOLIVE'!$1377:$1377</definedName>
    <definedName name="P_2_109.a" localSheetId="0">'CADOLIVE'!$1386:$1386</definedName>
    <definedName name="P_2_109.b" localSheetId="0">'CADOLIVE'!$1387:$1387</definedName>
    <definedName name="P_2_11.a" localSheetId="0">'CADOLIVE'!$147:$147</definedName>
    <definedName name="P_2_11.b" localSheetId="0">'CADOLIVE'!$148:$148</definedName>
    <definedName name="P_2_11.c" localSheetId="0">'CADOLIVE'!$149:$149</definedName>
    <definedName name="P_2_11.d" localSheetId="0">'CADOLIVE'!$150:$150</definedName>
    <definedName name="P_2_11.e" localSheetId="0">'CADOLIVE'!$151:$151</definedName>
    <definedName name="P_2_11.f" localSheetId="0">'CADOLIVE'!$152:$152</definedName>
    <definedName name="P_2_110.a" localSheetId="0">'CADOLIVE'!$1396:$1396</definedName>
    <definedName name="P_2_110.b" localSheetId="0">'CADOLIVE'!$1397:$1397</definedName>
    <definedName name="P_2_110.c" localSheetId="0">'CADOLIVE'!$1398:$1398</definedName>
    <definedName name="P_2_110.d" localSheetId="0">'CADOLIVE'!$1399:$1399</definedName>
    <definedName name="P_2_110.e" localSheetId="0">'CADOLIVE'!$1400:$1400</definedName>
    <definedName name="P_2_110.f" localSheetId="0">'CADOLIVE'!$1401:$1401</definedName>
    <definedName name="P_2_111.a" localSheetId="0">'CADOLIVE'!$1412:$1412</definedName>
    <definedName name="P_2_112" localSheetId="0">'CADOLIVE'!$1414:$1414</definedName>
    <definedName name="P_2_113" localSheetId="0">'CADOLIVE'!$1415:$1415</definedName>
    <definedName name="P_2_114" localSheetId="0">'CADOLIVE'!$1416:$1416</definedName>
    <definedName name="P_2_115" localSheetId="0">'CADOLIVE'!$1417:$1417</definedName>
    <definedName name="P_2_116.a" localSheetId="0">'CADOLIVE'!$1419:$1419</definedName>
    <definedName name="P_2_117" localSheetId="0">'CADOLIVE'!$1420:$1420</definedName>
    <definedName name="P_2_118" localSheetId="0">'CADOLIVE'!$1433:$1433</definedName>
    <definedName name="P_2_119" localSheetId="0">'CADOLIVE'!$1434:$1434</definedName>
    <definedName name="P_2_12.a" localSheetId="0">'CADOLIVE'!$160:$160</definedName>
    <definedName name="P_2_12.b" localSheetId="0">'CADOLIVE'!$161:$161</definedName>
    <definedName name="P_2_12.c" localSheetId="0">'CADOLIVE'!$162:$162</definedName>
    <definedName name="P_2_12.d" localSheetId="0">'CADOLIVE'!$163:$163</definedName>
    <definedName name="P_2_12.e" localSheetId="0">'CADOLIVE'!$164:$164</definedName>
    <definedName name="P_2_12.f" localSheetId="0">'CADOLIVE'!$165:$165</definedName>
    <definedName name="P_2_12.g" localSheetId="0">'CADOLIVE'!$166:$166</definedName>
    <definedName name="P_2_12.h" localSheetId="0">'CADOLIVE'!$167:$167</definedName>
    <definedName name="P_2_12.i" localSheetId="0">'CADOLIVE'!$168:$168</definedName>
    <definedName name="P_2_120" localSheetId="0">'CADOLIVE'!$1435:$1435</definedName>
    <definedName name="P_2_121" localSheetId="0">'CADOLIVE'!$1436:$1436</definedName>
    <definedName name="P_2_122" localSheetId="0">'CADOLIVE'!$1440:$1440</definedName>
    <definedName name="P_2_123" localSheetId="0">'CADOLIVE'!$1441:$1441</definedName>
    <definedName name="P_2_124" localSheetId="0">'CADOLIVE'!$1442:$1442</definedName>
    <definedName name="P_2_125" localSheetId="0">'CADOLIVE'!$1443:$1443</definedName>
    <definedName name="P_2_126" localSheetId="0">'CADOLIVE'!$1445:$1445</definedName>
    <definedName name="P_2_127" localSheetId="0">'CADOLIVE'!$1447:$1447</definedName>
    <definedName name="P_2_128" localSheetId="0">'CADOLIVE'!$1457:$1457</definedName>
    <definedName name="P_2_129" localSheetId="0">'CADOLIVE'!$1458:$1458</definedName>
    <definedName name="P_2_13.a" localSheetId="0">'CADOLIVE'!$175:$175</definedName>
    <definedName name="P_2_13.b" localSheetId="0">'CADOLIVE'!$176:$176</definedName>
    <definedName name="P_2_13.c" localSheetId="0">'CADOLIVE'!$177:$177</definedName>
    <definedName name="P_2_13.d" localSheetId="0">'CADOLIVE'!$178:$178</definedName>
    <definedName name="P_2_13.e" localSheetId="0">'CADOLIVE'!$179:$179</definedName>
    <definedName name="P_2_13.f" localSheetId="0">'CADOLIVE'!$180:$180</definedName>
    <definedName name="P_2_13.g" localSheetId="0">'CADOLIVE'!$181:$181</definedName>
    <definedName name="P_2_13.h" localSheetId="0">'CADOLIVE'!$182:$182</definedName>
    <definedName name="P_2_13.i" localSheetId="0">'CADOLIVE'!$183:$183</definedName>
    <definedName name="P_2_13.j" localSheetId="0">'CADOLIVE'!$184:$184</definedName>
    <definedName name="P_2_130" localSheetId="0">'CADOLIVE'!$1459:$1459</definedName>
    <definedName name="P_2_131" localSheetId="0">'CADOLIVE'!$1460:$1460</definedName>
    <definedName name="P_2_132" localSheetId="0">'CADOLIVE'!$1468:$1468</definedName>
    <definedName name="P_2_133" localSheetId="0">'CADOLIVE'!$1469:$1469</definedName>
    <definedName name="P_2_133.1" localSheetId="0">'CADOLIVE'!$1470:$1470</definedName>
    <definedName name="P_2_134" localSheetId="0">'CADOLIVE'!$1479:$1479</definedName>
    <definedName name="P_2_135" localSheetId="0">'CADOLIVE'!$1491:$1491</definedName>
    <definedName name="P_2_136" localSheetId="0">'CADOLIVE'!$1492:$1492</definedName>
    <definedName name="P_2_137" localSheetId="0">'CADOLIVE'!$1493:$1493</definedName>
    <definedName name="P_2_138" localSheetId="0">'CADOLIVE'!$1494:$1494</definedName>
    <definedName name="P_2_139" localSheetId="0">'CADOLIVE'!$1498:$1498</definedName>
    <definedName name="P_2_14.a" localSheetId="0">'CADOLIVE'!$193:$193</definedName>
    <definedName name="P_2_14.b" localSheetId="0">'CADOLIVE'!$194:$194</definedName>
    <definedName name="P_2_14.c" localSheetId="0">'CADOLIVE'!$195:$195</definedName>
    <definedName name="P_2_14.d" localSheetId="0">'CADOLIVE'!$197:$197</definedName>
    <definedName name="P_2_14.e" localSheetId="0">'CADOLIVE'!$198:$198</definedName>
    <definedName name="P_2_140" localSheetId="0">'CADOLIVE'!$1499:$1499</definedName>
    <definedName name="P_2_141" localSheetId="0">'CADOLIVE'!$1500:$1500</definedName>
    <definedName name="P_2_142" localSheetId="0">'CADOLIVE'!$1501:$1501</definedName>
    <definedName name="P_2_143" localSheetId="0">'CADOLIVE'!$1503:$1503</definedName>
    <definedName name="P_2_144" localSheetId="0">'CADOLIVE'!$1504:$1504</definedName>
    <definedName name="P_2_145" localSheetId="0">'CADOLIVE'!$1510:$1510</definedName>
    <definedName name="P_2_146" localSheetId="0">'CADOLIVE'!$1511:$1511</definedName>
    <definedName name="P_2_147" localSheetId="0">'CADOLIVE'!$1512:$1512</definedName>
    <definedName name="P_2_148" localSheetId="0">'CADOLIVE'!$1513:$1513</definedName>
    <definedName name="P_2_149" localSheetId="0">'CADOLIVE'!$1517:$1517</definedName>
    <definedName name="P_2_15.a" localSheetId="0">'CADOLIVE'!$209:$209</definedName>
    <definedName name="P_2_15.b" localSheetId="0">'CADOLIVE'!$210:$210</definedName>
    <definedName name="P_2_15.c" localSheetId="0">'CADOLIVE'!$211:$211</definedName>
    <definedName name="P_2_15.d" localSheetId="0">'CADOLIVE'!$212:$212</definedName>
    <definedName name="P_2_15.e" localSheetId="0">'CADOLIVE'!$213:$213</definedName>
    <definedName name="P_2_15.f" localSheetId="0">'CADOLIVE'!$214:$214</definedName>
    <definedName name="P_2_150" localSheetId="0">'CADOLIVE'!$1518:$1518</definedName>
    <definedName name="P_2_151" localSheetId="0">'CADOLIVE'!$1519:$1519</definedName>
    <definedName name="P_2_152" localSheetId="0">'CADOLIVE'!$1520:$1520</definedName>
    <definedName name="P_2_152.1" localSheetId="0">'CADOLIVE'!$1524:$1524</definedName>
    <definedName name="P_2_152.2" localSheetId="0">'CADOLIVE'!$1525:$1525</definedName>
    <definedName name="P_2_153" localSheetId="0">'CADOLIVE'!$1529:$1529</definedName>
    <definedName name="P_2_154" localSheetId="0">'CADOLIVE'!$1530:$1530</definedName>
    <definedName name="P_2_155" localSheetId="0">'CADOLIVE'!$1531:$1531</definedName>
    <definedName name="P_2_156" localSheetId="0">'CADOLIVE'!$1532:$1532</definedName>
    <definedName name="P_2_157" localSheetId="0">'CADOLIVE'!$1534:$1534</definedName>
    <definedName name="P_2_158" localSheetId="0">'CADOLIVE'!$1539:$1539</definedName>
    <definedName name="P_2_159" localSheetId="0">'CADOLIVE'!$1540:$1540</definedName>
    <definedName name="P_2_16.a" localSheetId="0">'CADOLIVE'!$224:$224</definedName>
    <definedName name="P_2_16.b" localSheetId="0">'CADOLIVE'!$225:$225</definedName>
    <definedName name="P_2_16.c" localSheetId="0">'CADOLIVE'!$226:$226</definedName>
    <definedName name="P_2_16.d" localSheetId="0">'CADOLIVE'!$227:$227</definedName>
    <definedName name="P_2_16.e" localSheetId="0">'CADOLIVE'!$228:$228</definedName>
    <definedName name="P_2_16.f" localSheetId="0">'CADOLIVE'!$229:$229</definedName>
    <definedName name="P_2_160" localSheetId="0">'CADOLIVE'!$1541:$1541</definedName>
    <definedName name="P_2_161" localSheetId="0">'CADOLIVE'!$1542:$1542</definedName>
    <definedName name="P_2_162" localSheetId="0">'CADOLIVE'!$1543:$1543</definedName>
    <definedName name="P_2_163" localSheetId="0">'CADOLIVE'!$1544:$1544</definedName>
    <definedName name="P_2_164" localSheetId="0">'CADOLIVE'!$1548:$1548</definedName>
    <definedName name="P_2_165" localSheetId="0">'CADOLIVE'!$1549:$1549</definedName>
    <definedName name="P_2_166" localSheetId="0">'CADOLIVE'!$1550:$1550</definedName>
    <definedName name="P_2_167" localSheetId="0">'CADOLIVE'!$1551:$1551</definedName>
    <definedName name="P_2_168" localSheetId="0">'CADOLIVE'!$1552:$1552</definedName>
    <definedName name="P_2_169" localSheetId="0">'CADOLIVE'!$1553:$1553</definedName>
    <definedName name="P_2_17.a" localSheetId="0">'CADOLIVE'!$239:$239</definedName>
    <definedName name="P_2_17.b" localSheetId="0">'CADOLIVE'!$240:$240</definedName>
    <definedName name="P_2_17.c" localSheetId="0">'CADOLIVE'!$241:$241</definedName>
    <definedName name="P_2_17.d" localSheetId="0">'CADOLIVE'!$242:$242</definedName>
    <definedName name="P_2_17.e" localSheetId="0">'CADOLIVE'!$243:$243</definedName>
    <definedName name="P_2_170" localSheetId="0">'CADOLIVE'!$1554:$1554</definedName>
    <definedName name="P_2_171" localSheetId="0">'CADOLIVE'!$1555:$1555</definedName>
    <definedName name="P_2_172" localSheetId="0">'CADOLIVE'!$1556:$1556</definedName>
    <definedName name="P_2_173" localSheetId="0">'CADOLIVE'!$1557:$1557</definedName>
    <definedName name="P_2_174" localSheetId="0">'CADOLIVE'!$1558:$1558</definedName>
    <definedName name="P_2_175" localSheetId="0">'CADOLIVE'!$1559:$1559</definedName>
    <definedName name="P_2_176" localSheetId="0">'CADOLIVE'!$1564:$1564</definedName>
    <definedName name="P_2_177" localSheetId="0">'CADOLIVE'!$1565:$1565</definedName>
    <definedName name="P_2_178" localSheetId="0">'CADOLIVE'!$1566:$1566</definedName>
    <definedName name="P_2_179" localSheetId="0">'CADOLIVE'!$1567:$1567</definedName>
    <definedName name="P_2_18.a" localSheetId="0">'CADOLIVE'!$253:$253</definedName>
    <definedName name="P_2_18.b" localSheetId="0">'CADOLIVE'!$254:$254</definedName>
    <definedName name="P_2_18.c" localSheetId="0">'CADOLIVE'!$255:$255</definedName>
    <definedName name="P_2_18.d" localSheetId="0">'CADOLIVE'!$256:$256</definedName>
    <definedName name="P_2_180" localSheetId="0">'CADOLIVE'!$1568:$1568</definedName>
    <definedName name="P_2_181" localSheetId="0">'CADOLIVE'!$1569:$1569</definedName>
    <definedName name="P_2_182" localSheetId="0">'CADOLIVE'!$1570:$1570</definedName>
    <definedName name="P_2_183" localSheetId="0">'CADOLIVE'!$1572:$1572</definedName>
    <definedName name="P_2_184" localSheetId="0">'CADOLIVE'!$1573:$1573</definedName>
    <definedName name="P_2_185" localSheetId="0">'CADOLIVE'!$1574:$1574</definedName>
    <definedName name="P_2_186" localSheetId="0">'CADOLIVE'!$1575:$1575</definedName>
    <definedName name="P_2_187" localSheetId="0">'CADOLIVE'!$1576:$1576</definedName>
    <definedName name="P_2_188" localSheetId="0">'CADOLIVE'!$1577:$1577</definedName>
    <definedName name="P_2_189" localSheetId="0">'CADOLIVE'!$1578:$1578</definedName>
    <definedName name="P_2_19.a" localSheetId="0">'CADOLIVE'!$266:$266</definedName>
    <definedName name="P_2_19.b" localSheetId="0">'CADOLIVE'!$267:$267</definedName>
    <definedName name="P_2_190" localSheetId="0">'CADOLIVE'!$1580:$1580</definedName>
    <definedName name="P_2_191" localSheetId="0">'CADOLIVE'!$1581:$1581</definedName>
    <definedName name="P_2_192" localSheetId="0">'CADOLIVE'!$1582:$1582</definedName>
    <definedName name="P_2_193" localSheetId="0">'CADOLIVE'!$1585:$1585</definedName>
    <definedName name="P_2_194" localSheetId="0">'CADOLIVE'!$1587:$1587</definedName>
    <definedName name="P_2_195" localSheetId="0">'CADOLIVE'!$1588:$1588</definedName>
    <definedName name="P_2_196" localSheetId="0">'CADOLIVE'!$1590:$1590</definedName>
    <definedName name="P_2_197" localSheetId="0">'CADOLIVE'!$1593:$1593</definedName>
    <definedName name="P_2_198" localSheetId="0">'CADOLIVE'!$1594:$1594</definedName>
    <definedName name="P_2_199" localSheetId="0">'CADOLIVE'!$1596:$1596</definedName>
    <definedName name="P_2_2" localSheetId="0">'CADOLIVE'!$18:$18</definedName>
    <definedName name="P_2_20.a" localSheetId="0">'CADOLIVE'!$277:$277</definedName>
    <definedName name="P_2_20.b" localSheetId="0">'CADOLIVE'!$278:$278</definedName>
    <definedName name="P_2_20.c" localSheetId="0">'CADOLIVE'!$279:$279</definedName>
    <definedName name="P_2_20.d" localSheetId="0">'CADOLIVE'!$280:$280</definedName>
    <definedName name="P_2_200" localSheetId="0">'CADOLIVE'!$1599:$1599</definedName>
    <definedName name="P_2_201" localSheetId="0">'CADOLIVE'!$1600:$1600</definedName>
    <definedName name="P_2_202" localSheetId="0">'CADOLIVE'!$1606:$1606</definedName>
    <definedName name="P_2_203" localSheetId="0">'CADOLIVE'!$1607:$1607</definedName>
    <definedName name="P_2_204" localSheetId="0">'CADOLIVE'!$1608:$1608</definedName>
    <definedName name="P_2_205" localSheetId="0">'CADOLIVE'!$1609:$1609</definedName>
    <definedName name="P_2_206" localSheetId="0">'CADOLIVE'!$1610:$1610</definedName>
    <definedName name="P_2_207" localSheetId="0">'CADOLIVE'!$1614:$1614</definedName>
    <definedName name="P_2_208" localSheetId="0">'CADOLIVE'!$1615:$1615</definedName>
    <definedName name="P_2_209" localSheetId="0">'CADOLIVE'!$1616:$1616</definedName>
    <definedName name="P_2_21.a" localSheetId="0">'CADOLIVE'!$292:$292</definedName>
    <definedName name="P_2_21.b" localSheetId="0">'CADOLIVE'!$293:$293</definedName>
    <definedName name="P_2_210" localSheetId="0">'CADOLIVE'!$1622:$1622</definedName>
    <definedName name="P_2_211" localSheetId="0">'CADOLIVE'!$1623:$1623</definedName>
    <definedName name="P_2_212" localSheetId="0">'CADOLIVE'!$1625:$1625</definedName>
    <definedName name="P_2_213" localSheetId="0">'CADOLIVE'!$1628:$1628</definedName>
    <definedName name="P_2_214" localSheetId="0">'CADOLIVE'!$1629:$1629</definedName>
    <definedName name="P_2_215" localSheetId="0">'CADOLIVE'!$1631:$1631</definedName>
    <definedName name="P_2_216" localSheetId="0">'CADOLIVE'!$1634:$1634</definedName>
    <definedName name="P_2_217" localSheetId="0">'CADOLIVE'!$1635:$1635</definedName>
    <definedName name="P_2_218" localSheetId="0">'CADOLIVE'!$1637:$1637</definedName>
    <definedName name="P_2_219" localSheetId="0">'CADOLIVE'!$1640:$1640</definedName>
    <definedName name="P_2_22.a" localSheetId="0">'CADOLIVE'!$305:$305</definedName>
    <definedName name="P_2_22.b" localSheetId="0">'CADOLIVE'!$306:$306</definedName>
    <definedName name="P_2_22.c" localSheetId="0">'CADOLIVE'!$307:$307</definedName>
    <definedName name="P_2_220" localSheetId="0">'CADOLIVE'!$1641:$1641</definedName>
    <definedName name="P_2_221" localSheetId="0">'CADOLIVE'!$1643:$1643</definedName>
    <definedName name="P_2_23.a" localSheetId="0">'CADOLIVE'!$317:$317</definedName>
    <definedName name="P_2_23.b" localSheetId="0">'CADOLIVE'!$318:$318</definedName>
    <definedName name="P_2_23.c" localSheetId="0">'CADOLIVE'!$319:$319</definedName>
    <definedName name="P_2_23.d" localSheetId="0">'CADOLIVE'!$320:$320</definedName>
    <definedName name="P_2_24" localSheetId="0">'CADOLIVE'!$321:$321</definedName>
    <definedName name="P_2_25.a" localSheetId="0">'CADOLIVE'!$339:$339</definedName>
    <definedName name="P_2_25.b" localSheetId="0">'CADOLIVE'!$340:$340</definedName>
    <definedName name="P_2_25.c" localSheetId="0">'CADOLIVE'!$341:$341</definedName>
    <definedName name="P_2_25.d" localSheetId="0">'CADOLIVE'!$342:$342</definedName>
    <definedName name="P_2_25.e" localSheetId="0">'CADOLIVE'!$344:$344</definedName>
    <definedName name="P_2_25.f" localSheetId="0">'CADOLIVE'!$345:$345</definedName>
    <definedName name="P_2_25.g" localSheetId="0">'CADOLIVE'!$346:$346</definedName>
    <definedName name="P_2_25.h" localSheetId="0">'CADOLIVE'!$348:$348</definedName>
    <definedName name="P_2_25.i" localSheetId="0">'CADOLIVE'!$350:$350</definedName>
    <definedName name="P_2_25.j" localSheetId="0">'CADOLIVE'!$352:$352</definedName>
    <definedName name="P_2_25.k" localSheetId="0">'CADOLIVE'!$354:$354</definedName>
    <definedName name="P_2_26.a" localSheetId="0">'CADOLIVE'!$364:$364</definedName>
    <definedName name="P_2_26.b" localSheetId="0">'CADOLIVE'!$365:$365</definedName>
    <definedName name="P_2_26.c" localSheetId="0">'CADOLIVE'!$366:$366</definedName>
    <definedName name="P_2_26.d" localSheetId="0">'CADOLIVE'!$367:$367</definedName>
    <definedName name="P_2_26.e" localSheetId="0">'CADOLIVE'!$369:$369</definedName>
    <definedName name="P_2_26.f" localSheetId="0">'CADOLIVE'!$370:$370</definedName>
    <definedName name="P_2_26.g" localSheetId="0">'CADOLIVE'!$371:$371</definedName>
    <definedName name="P_2_26.h" localSheetId="0">'CADOLIVE'!$373:$373</definedName>
    <definedName name="P_2_26.i" localSheetId="0">'CADOLIVE'!$375:$375</definedName>
    <definedName name="P_2_26.j" localSheetId="0">'CADOLIVE'!$376:$376</definedName>
    <definedName name="P_2_27.a" localSheetId="0">'CADOLIVE'!$387:$387</definedName>
    <definedName name="P_2_27.b" localSheetId="0">'CADOLIVE'!$388:$388</definedName>
    <definedName name="P_2_28.a" localSheetId="0">'CADOLIVE'!$397:$397</definedName>
    <definedName name="P_2_28.b" localSheetId="0">'CADOLIVE'!$398:$398</definedName>
    <definedName name="P_2_28.c" localSheetId="0">'CADOLIVE'!$399:$399</definedName>
    <definedName name="P_2_29.a" localSheetId="0">'CADOLIVE'!$407:$407</definedName>
    <definedName name="P_2_29.b" localSheetId="0">'CADOLIVE'!$408:$408</definedName>
    <definedName name="P_2_3" localSheetId="0">'CADOLIVE'!$23:$23</definedName>
    <definedName name="P_2_30.a" localSheetId="0">'CADOLIVE'!$418:$418</definedName>
    <definedName name="P_2_30.b" localSheetId="0">'CADOLIVE'!$419:$419</definedName>
    <definedName name="P_2_30.c" localSheetId="0">'CADOLIVE'!$421:$421</definedName>
    <definedName name="P_2_30.d" localSheetId="0">'CADOLIVE'!$422:$422</definedName>
    <definedName name="P_2_31.a" localSheetId="0">'CADOLIVE'!$431:$431</definedName>
    <definedName name="P_2_31.b" localSheetId="0">'CADOLIVE'!$432:$432</definedName>
    <definedName name="P_2_31.c" localSheetId="0">'CADOLIVE'!$433:$433</definedName>
    <definedName name="P_2_31.d" localSheetId="0">'CADOLIVE'!$434:$434</definedName>
    <definedName name="P_2_32.a" localSheetId="0">'CADOLIVE'!$442:$442</definedName>
    <definedName name="P_2_32.b" localSheetId="0">'CADOLIVE'!$443:$443</definedName>
    <definedName name="P_2_32.c" localSheetId="0">'CADOLIVE'!$444:$444</definedName>
    <definedName name="P_2_33.a" localSheetId="0">'CADOLIVE'!$452:$452</definedName>
    <definedName name="P_2_34" localSheetId="0">'CADOLIVE'!$455:$455</definedName>
    <definedName name="P_2_35.a" localSheetId="0">'CADOLIVE'!$468:$468</definedName>
    <definedName name="P_2_35.b" localSheetId="0">'CADOLIVE'!$469:$469</definedName>
    <definedName name="P_2_36.a" localSheetId="0">'CADOLIVE'!$478:$478</definedName>
    <definedName name="P_2_36.b" localSheetId="0">'CADOLIVE'!$479:$479</definedName>
    <definedName name="P_2_37.a" localSheetId="0">'CADOLIVE'!$481:$481</definedName>
    <definedName name="P_2_37.b" localSheetId="0">'CADOLIVE'!$482:$482</definedName>
    <definedName name="P_2_38" localSheetId="0">'CADOLIVE'!$483:$483</definedName>
    <definedName name="P_2_38.1" localSheetId="0">'CADOLIVE'!$490:$490</definedName>
    <definedName name="P_2_39.a" localSheetId="0">'CADOLIVE'!$506:$506</definedName>
    <definedName name="P_2_39.b" localSheetId="0">'CADOLIVE'!$507:$507</definedName>
    <definedName name="P_2_39.c" localSheetId="0">'CADOLIVE'!$508:$508</definedName>
    <definedName name="P_2_4" localSheetId="0">'CADOLIVE'!$28:$28</definedName>
    <definedName name="P_2_40.a" localSheetId="0">'CADOLIVE'!$510:$510</definedName>
    <definedName name="P_2_40.b" localSheetId="0">'CADOLIVE'!$511:$511</definedName>
    <definedName name="P_2_40.c" localSheetId="0">'CADOLIVE'!$512:$512</definedName>
    <definedName name="P_2_41" localSheetId="0">'CADOLIVE'!$513:$513</definedName>
    <definedName name="P_2_42.a" localSheetId="0">'CADOLIVE'!$515:$515</definedName>
    <definedName name="P_2_42.b" localSheetId="0">'CADOLIVE'!$516:$516</definedName>
    <definedName name="P_2_43.a" localSheetId="0">'CADOLIVE'!$529:$529</definedName>
    <definedName name="P_2_43.b" localSheetId="0">'CADOLIVE'!$530:$530</definedName>
    <definedName name="P_2_43.c" localSheetId="0">'CADOLIVE'!$531:$531</definedName>
    <definedName name="P_2_43.d" localSheetId="0">'CADOLIVE'!$533:$533</definedName>
    <definedName name="P_2_43.e" localSheetId="0">'CADOLIVE'!$534:$534</definedName>
    <definedName name="P_2_43.e.1" localSheetId="0">'CADOLIVE'!$535:$535</definedName>
    <definedName name="P_2_44.a" localSheetId="0">'CADOLIVE'!$548:$548</definedName>
    <definedName name="P_2_44.b" localSheetId="0">'CADOLIVE'!$550:$550</definedName>
    <definedName name="P_2_44.c" localSheetId="0">'CADOLIVE'!$551:$551</definedName>
    <definedName name="P_2_45.a" localSheetId="0">'CADOLIVE'!$562:$562</definedName>
    <definedName name="P_2_45.b" localSheetId="0">'CADOLIVE'!$563:$563</definedName>
    <definedName name="P_2_46.a" localSheetId="0">'CADOLIVE'!$573:$573</definedName>
    <definedName name="P_2_46.b" localSheetId="0">'CADOLIVE'!$574:$574</definedName>
    <definedName name="P_2_47.a" localSheetId="0">'CADOLIVE'!$583:$583</definedName>
    <definedName name="P_2_47.b" localSheetId="0">'CADOLIVE'!$584:$584</definedName>
    <definedName name="P_2_48.a" localSheetId="0">'CADOLIVE'!$588:$588</definedName>
    <definedName name="P_2_48.b" localSheetId="0">'CADOLIVE'!$589:$589</definedName>
    <definedName name="P_2_49.a" localSheetId="0">'CADOLIVE'!$598:$598</definedName>
    <definedName name="P_2_49.b" localSheetId="0">'CADOLIVE'!$599:$599</definedName>
    <definedName name="P_2_5" localSheetId="0">'CADOLIVE'!$33:$33</definedName>
    <definedName name="P_2_50.a" localSheetId="0">'CADOLIVE'!$611:$611</definedName>
    <definedName name="P_2_50.b" localSheetId="0">'CADOLIVE'!$612:$612</definedName>
    <definedName name="P_2_51.a" localSheetId="0">'CADOLIVE'!$615:$615</definedName>
    <definedName name="P_2_51.b" localSheetId="0">'CADOLIVE'!$616:$616</definedName>
    <definedName name="P_2_52.a" localSheetId="0">'CADOLIVE'!$619:$619</definedName>
    <definedName name="P_2_52.b" localSheetId="0">'CADOLIVE'!$620:$620</definedName>
    <definedName name="P_2_53.a" localSheetId="0">'CADOLIVE'!$630:$630</definedName>
    <definedName name="P_2_53.b" localSheetId="0">'CADOLIVE'!$631:$631</definedName>
    <definedName name="P_2_53.c" localSheetId="0">'CADOLIVE'!$632:$632</definedName>
    <definedName name="P_2_54.a" localSheetId="0">'CADOLIVE'!$644:$644</definedName>
    <definedName name="P_2_54.b" localSheetId="0">'CADOLIVE'!$645:$645</definedName>
    <definedName name="P_2_54.c" localSheetId="0">'CADOLIVE'!$646:$646</definedName>
    <definedName name="P_2_54.d" localSheetId="0">'CADOLIVE'!$647:$647</definedName>
    <definedName name="P_2_54.e" localSheetId="0">'CADOLIVE'!$648:$648</definedName>
    <definedName name="P_2_54.f" localSheetId="0">'CADOLIVE'!$649:$649</definedName>
    <definedName name="P_2_55.a" localSheetId="0">'CADOLIVE'!$659:$659</definedName>
    <definedName name="P_2_55.b" localSheetId="0">'CADOLIVE'!$660:$660</definedName>
    <definedName name="P_2_55.c" localSheetId="0">'CADOLIVE'!$662:$662</definedName>
    <definedName name="P_2_55.d" localSheetId="0">'CADOLIVE'!$663:$663</definedName>
    <definedName name="P_2_56.a" localSheetId="0">'CADOLIVE'!$676:$676</definedName>
    <definedName name="P_2_56.b" localSheetId="0">'CADOLIVE'!$677:$677</definedName>
    <definedName name="P_2_56.c" localSheetId="0">'CADOLIVE'!$679:$679</definedName>
    <definedName name="P_2_56.d" localSheetId="0">'CADOLIVE'!$680:$680</definedName>
    <definedName name="P_2_56.e" localSheetId="0">'CADOLIVE'!$682:$682</definedName>
    <definedName name="P_2_56.f" localSheetId="0">'CADOLIVE'!$683:$683</definedName>
    <definedName name="P_2_56.g" localSheetId="0">'CADOLIVE'!$685:$685</definedName>
    <definedName name="P_2_56.h" localSheetId="0">'CADOLIVE'!$686:$686</definedName>
    <definedName name="P_2_57.a" localSheetId="0">'CADOLIVE'!$699:$699</definedName>
    <definedName name="P_2_57.b" localSheetId="0">'CADOLIVE'!$700:$700</definedName>
    <definedName name="P_2_57.c" localSheetId="0">'CADOLIVE'!$701:$701</definedName>
    <definedName name="P_2_57.d" localSheetId="0">'CADOLIVE'!$702:$702</definedName>
    <definedName name="P_2_57.e" localSheetId="0">'CADOLIVE'!$703:$703</definedName>
    <definedName name="P_2_57.f" localSheetId="0">'CADOLIVE'!$704:$704</definedName>
    <definedName name="P_2_57.g" localSheetId="0">'CADOLIVE'!$705:$705</definedName>
    <definedName name="P_2_58.a" localSheetId="0">'CADOLIVE'!$714:$714</definedName>
    <definedName name="P_2_58.b" localSheetId="0">'CADOLIVE'!$715:$715</definedName>
    <definedName name="P_2_58.c" localSheetId="0">'CADOLIVE'!$716:$716</definedName>
    <definedName name="P_2_58.d" localSheetId="0">'CADOLIVE'!$717:$717</definedName>
    <definedName name="P_2_59.a" localSheetId="0">'CADOLIVE'!$724:$724</definedName>
    <definedName name="P_2_59.b" localSheetId="0">'CADOLIVE'!$725:$725</definedName>
    <definedName name="P_2_6" localSheetId="0">'CADOLIVE'!$39:$39</definedName>
    <definedName name="P_2_60.a" localSheetId="0">'CADOLIVE'!$737:$737</definedName>
    <definedName name="P_2_60.b" localSheetId="0">'CADOLIVE'!$738:$738</definedName>
    <definedName name="P_2_60.c" localSheetId="0">'CADOLIVE'!$740:$740</definedName>
    <definedName name="P_2_61" localSheetId="0">'CADOLIVE'!$741:$741</definedName>
    <definedName name="P_2_62.a" localSheetId="0">'CADOLIVE'!$752:$752</definedName>
    <definedName name="P_2_62.b" localSheetId="0">'CADOLIVE'!$753:$753</definedName>
    <definedName name="P_2_63" localSheetId="0">'CADOLIVE'!$754:$754</definedName>
    <definedName name="P_2_64.a" localSheetId="0">'CADOLIVE'!$768:$768</definedName>
    <definedName name="P_2_64.b" localSheetId="0">'CADOLIVE'!$769:$769</definedName>
    <definedName name="P_2_64.c" localSheetId="0">'CADOLIVE'!$770:$770</definedName>
    <definedName name="P_2_65.a" localSheetId="0">'CADOLIVE'!$781:$781</definedName>
    <definedName name="P_2_65.b" localSheetId="0">'CADOLIVE'!$782:$782</definedName>
    <definedName name="P_2_65.c" localSheetId="0">'CADOLIVE'!$783:$783</definedName>
    <definedName name="P_2_65.d" localSheetId="0">'CADOLIVE'!$784:$784</definedName>
    <definedName name="P_2_65.e" localSheetId="0">'CADOLIVE'!$785:$785</definedName>
    <definedName name="P_2_65.f" localSheetId="0">'CADOLIVE'!$786:$786</definedName>
    <definedName name="P_2_65.g" localSheetId="0">'CADOLIVE'!$788:$788</definedName>
    <definedName name="P_2_65.h" localSheetId="0">'CADOLIVE'!$789:$789</definedName>
    <definedName name="P_2_65.i" localSheetId="0">'CADOLIVE'!$790:$790</definedName>
    <definedName name="P_2_65.j" localSheetId="0">'CADOLIVE'!$791:$791</definedName>
    <definedName name="P_2_65.k" localSheetId="0">'CADOLIVE'!$792:$792</definedName>
    <definedName name="P_2_65.l" localSheetId="0">'CADOLIVE'!$793:$793</definedName>
    <definedName name="P_2_65.m" localSheetId="0">'CADOLIVE'!$795:$795</definedName>
    <definedName name="P_2_65.n" localSheetId="0">'CADOLIVE'!$796:$796</definedName>
    <definedName name="P_2_65.o" localSheetId="0">'CADOLIVE'!$797:$797</definedName>
    <definedName name="P_2_65.p" localSheetId="0">'CADOLIVE'!$798:$798</definedName>
    <definedName name="P_2_65.q" localSheetId="0">'CADOLIVE'!$799:$799</definedName>
    <definedName name="P_2_66" localSheetId="0">'CADOLIVE'!$800:$800</definedName>
    <definedName name="P_2_67.a" localSheetId="0">'CADOLIVE'!$812:$812</definedName>
    <definedName name="P_2_67.b" localSheetId="0">'CADOLIVE'!$813:$813</definedName>
    <definedName name="P_2_67.c" localSheetId="0">'CADOLIVE'!$814:$814</definedName>
    <definedName name="P_2_67.d" localSheetId="0">'CADOLIVE'!$815:$815</definedName>
    <definedName name="P_2_67.e" localSheetId="0">'CADOLIVE'!$816:$816</definedName>
    <definedName name="P_2_67.f" localSheetId="0">'CADOLIVE'!$818:$818</definedName>
    <definedName name="P_2_67.g" localSheetId="0">'CADOLIVE'!$819:$819</definedName>
    <definedName name="P_2_67.h" localSheetId="0">'CADOLIVE'!$820:$820</definedName>
    <definedName name="P_2_67.i" localSheetId="0">'CADOLIVE'!$822:$822</definedName>
    <definedName name="P_2_67.j" localSheetId="0">'CADOLIVE'!$823:$823</definedName>
    <definedName name="P_2_67.k" localSheetId="0">'CADOLIVE'!$824:$824</definedName>
    <definedName name="P_2_67.l" localSheetId="0">'CADOLIVE'!$825:$825</definedName>
    <definedName name="P_2_67.m" localSheetId="0">'CADOLIVE'!$827:$827</definedName>
    <definedName name="P_2_68.a" localSheetId="0">'CADOLIVE'!$839:$839</definedName>
    <definedName name="P_2_68.b" localSheetId="0">'CADOLIVE'!$840:$840</definedName>
    <definedName name="P_2_68.c" localSheetId="0">'CADOLIVE'!$842:$842</definedName>
    <definedName name="P_2_68.d" localSheetId="0">'CADOLIVE'!$843:$843</definedName>
    <definedName name="P_2_68.e" localSheetId="0">'CADOLIVE'!$844:$844</definedName>
    <definedName name="P_2_68.f" localSheetId="0">'CADOLIVE'!$845:$845</definedName>
    <definedName name="P_2_69.a" localSheetId="0">'CADOLIVE'!$856:$856</definedName>
    <definedName name="P_2_69.b" localSheetId="0">'CADOLIVE'!$857:$857</definedName>
    <definedName name="P_2_7.a" localSheetId="0">'CADOLIVE'!$53:$53</definedName>
    <definedName name="P_2_7.b" localSheetId="0">'CADOLIVE'!$55:$55</definedName>
    <definedName name="P_2_7.c" localSheetId="0">'CADOLIVE'!$57:$57</definedName>
    <definedName name="P_2_7.d" localSheetId="0">'CADOLIVE'!$59:$59</definedName>
    <definedName name="P_2_7.e" localSheetId="0">'CADOLIVE'!$60:$60</definedName>
    <definedName name="P_2_7.f" localSheetId="0">'CADOLIVE'!$62:$62</definedName>
    <definedName name="P_2_7.g" localSheetId="0">'CADOLIVE'!$63:$63</definedName>
    <definedName name="P_2_7.h" localSheetId="0">'CADOLIVE'!$65:$65</definedName>
    <definedName name="P_2_7.i" localSheetId="0">'CADOLIVE'!$67:$67</definedName>
    <definedName name="P_2_7.j" localSheetId="0">'CADOLIVE'!$69:$69</definedName>
    <definedName name="P_2_7.k" localSheetId="0">'CADOLIVE'!$70:$70</definedName>
    <definedName name="P_2_7.l" localSheetId="0">'CADOLIVE'!$71:$71</definedName>
    <definedName name="P_2_7.m" localSheetId="0">'CADOLIVE'!$73:$73</definedName>
    <definedName name="P_2_7.n" localSheetId="0">'CADOLIVE'!$74:$74</definedName>
    <definedName name="P_2_7.o" localSheetId="0">'CADOLIVE'!$76:$76</definedName>
    <definedName name="P_2_7.p" localSheetId="0">'CADOLIVE'!$77:$77</definedName>
    <definedName name="P_2_7.q" localSheetId="0">'CADOLIVE'!$78:$78</definedName>
    <definedName name="P_2_7.r" localSheetId="0">'CADOLIVE'!$79:$79</definedName>
    <definedName name="P_2_7.s" localSheetId="0">'CADOLIVE'!$81:$81</definedName>
    <definedName name="P_2_7.t" localSheetId="0">'CADOLIVE'!$82:$82</definedName>
    <definedName name="P_2_7.u" localSheetId="0">'CADOLIVE'!$84:$84</definedName>
    <definedName name="P_2_7.v" localSheetId="0">'CADOLIVE'!$86:$86</definedName>
    <definedName name="P_2_7.v.1" localSheetId="0">'CADOLIVE'!$87:$87</definedName>
    <definedName name="P_2_70.a" localSheetId="0">'CADOLIVE'!$868:$868</definedName>
    <definedName name="P_2_70.b" localSheetId="0">'CADOLIVE'!$869:$869</definedName>
    <definedName name="P_2_71.a" localSheetId="0">'CADOLIVE'!$885:$885</definedName>
    <definedName name="P_2_71.b" localSheetId="0">'CADOLIVE'!$886:$886</definedName>
    <definedName name="P_2_71.c" localSheetId="0">'CADOLIVE'!$888:$888</definedName>
    <definedName name="P_2_71.d" localSheetId="0">'CADOLIVE'!$889:$889</definedName>
    <definedName name="P_2_71.e" localSheetId="0">'CADOLIVE'!$891:$891</definedName>
    <definedName name="P_2_72.a" localSheetId="0">'CADOLIVE'!$907:$907</definedName>
    <definedName name="P_2_72.b" localSheetId="0">'CADOLIVE'!$908:$908</definedName>
    <definedName name="P_2_73" localSheetId="0">'CADOLIVE'!$909:$909</definedName>
    <definedName name="P_2_74.a" localSheetId="0">'CADOLIVE'!$930:$930</definedName>
    <definedName name="P_2_74.b" localSheetId="0">'CADOLIVE'!$931:$931</definedName>
    <definedName name="P_2_74.c" localSheetId="0">'CADOLIVE'!$932:$932</definedName>
    <definedName name="P_2_75.a" localSheetId="0">'CADOLIVE'!$946:$946</definedName>
    <definedName name="P_2_75.b" localSheetId="0">'CADOLIVE'!$947:$947</definedName>
    <definedName name="P_2_75.c" localSheetId="0">'CADOLIVE'!$948:$948</definedName>
    <definedName name="P_2_76.a" localSheetId="0">'CADOLIVE'!$960:$960</definedName>
    <definedName name="P_2_76.b" localSheetId="0">'CADOLIVE'!$961:$961</definedName>
    <definedName name="P_2_77.a" localSheetId="0">'CADOLIVE'!$973:$973</definedName>
    <definedName name="P_2_77.b" localSheetId="0">'CADOLIVE'!$974:$974</definedName>
    <definedName name="P_2_77.c" localSheetId="0">'CADOLIVE'!$975:$975</definedName>
    <definedName name="P_2_78" localSheetId="0">'CADOLIVE'!$976:$976</definedName>
    <definedName name="P_2_79.a" localSheetId="0">'CADOLIVE'!$995:$995</definedName>
    <definedName name="P_2_79.b" localSheetId="0">'CADOLIVE'!$996:$996</definedName>
    <definedName name="P_2_8.a" localSheetId="0">'CADOLIVE'!$95:$95</definedName>
    <definedName name="P_2_8.b" localSheetId="0">'CADOLIVE'!$96:$96</definedName>
    <definedName name="P_2_8.c" localSheetId="0">'CADOLIVE'!$97:$97</definedName>
    <definedName name="P_2_8.d" localSheetId="0">'CADOLIVE'!$98:$98</definedName>
    <definedName name="P_2_8.d.1" localSheetId="0">'CADOLIVE'!$99:$99</definedName>
    <definedName name="P_2_80.a" localSheetId="0">'CADOLIVE'!$1006:$1006</definedName>
    <definedName name="P_2_80.b" localSheetId="0">'CADOLIVE'!$1007:$1007</definedName>
    <definedName name="P_2_81.a" localSheetId="0">'CADOLIVE'!$1014:$1014</definedName>
    <definedName name="P_2_81.b" localSheetId="0">'CADOLIVE'!$1015:$1015</definedName>
    <definedName name="P_2_82" localSheetId="0">'CADOLIVE'!$1016:$1016</definedName>
    <definedName name="P_2_83.a" localSheetId="0">'CADOLIVE'!$1037:$1037</definedName>
    <definedName name="P_2_83.b" localSheetId="0">'CADOLIVE'!$1038:$1038</definedName>
    <definedName name="P_2_83.c" localSheetId="0">'CADOLIVE'!$1039:$1039</definedName>
    <definedName name="P_2_83.d" localSheetId="0">'CADOLIVE'!$1040:$1040</definedName>
    <definedName name="P_2_83.e" localSheetId="0">'CADOLIVE'!$1041:$1041</definedName>
    <definedName name="P_2_84" localSheetId="0">'CADOLIVE'!$1042:$1042</definedName>
    <definedName name="P_2_85" localSheetId="0">'CADOLIVE'!$1050:$1050</definedName>
    <definedName name="P_2_86" localSheetId="0">'CADOLIVE'!$1058:$1058</definedName>
    <definedName name="P_2_87" localSheetId="0">'CADOLIVE'!$1067:$1067</definedName>
    <definedName name="P_2_88" localSheetId="0">'CADOLIVE'!$1071:$1071</definedName>
    <definedName name="P_2_89" localSheetId="0">'CADOLIVE'!$1077:$1077</definedName>
    <definedName name="P_2_9.a" localSheetId="0">'CADOLIVE'!$109:$109</definedName>
    <definedName name="P_2_9.b" localSheetId="0">'CADOLIVE'!$110:$110</definedName>
    <definedName name="P_2_9.c" localSheetId="0">'CADOLIVE'!$111:$111</definedName>
    <definedName name="P_2_9.d" localSheetId="0">'CADOLIVE'!$112:$112</definedName>
    <definedName name="P_2_9.e" localSheetId="0">'CADOLIVE'!$113:$113</definedName>
    <definedName name="P_2_9.f" localSheetId="0">'CADOLIVE'!$114:$114</definedName>
    <definedName name="P_2_9.g" localSheetId="0">'CADOLIVE'!$115:$115</definedName>
    <definedName name="P_2_9.h" localSheetId="0">'CADOLIVE'!$116:$116</definedName>
    <definedName name="P_2_9.i" localSheetId="0">'CADOLIVE'!$117:$117</definedName>
    <definedName name="P_2_9.j" localSheetId="0">'CADOLIVE'!$118:$118</definedName>
    <definedName name="P_2_9.k" localSheetId="0">'CADOLIVE'!$119:$119</definedName>
    <definedName name="P_2_9.l" localSheetId="0">'CADOLIVE'!$120:$120</definedName>
    <definedName name="P_2_90" localSheetId="0">'CADOLIVE'!$1084:$1084</definedName>
    <definedName name="P_2_91" localSheetId="0">'CADOLIVE'!$1096:$1096</definedName>
    <definedName name="P_2_92" localSheetId="0">'CADOLIVE'!$1103:$1103</definedName>
    <definedName name="P_2_93" localSheetId="0">'CADOLIVE'!$1112:$1112</definedName>
    <definedName name="P_2_94.a" localSheetId="0">'CADOLIVE'!$1132:$1132</definedName>
    <definedName name="P_2_94.b" localSheetId="0">'CADOLIVE'!$1133:$1133</definedName>
    <definedName name="P_2_94.c" localSheetId="0">'CADOLIVE'!$1134:$1134</definedName>
    <definedName name="P_2_94.d" localSheetId="0">'CADOLIVE'!$1136:$1136</definedName>
    <definedName name="P_2_94.e" localSheetId="0">'CADOLIVE'!$1137:$1137</definedName>
    <definedName name="P_2_94.f" localSheetId="0">'CADOLIVE'!$1138:$1138</definedName>
    <definedName name="P_2_95.a" localSheetId="0">'CADOLIVE'!$1148:$1148</definedName>
    <definedName name="P_2_95.b" localSheetId="0">'CADOLIVE'!$1149:$1149</definedName>
    <definedName name="P_2_95.c" localSheetId="0">'CADOLIVE'!$1150:$1150</definedName>
    <definedName name="P_2_95.d" localSheetId="0">'CADOLIVE'!$1151:$1151</definedName>
    <definedName name="P_2_95.e" localSheetId="0">'CADOLIVE'!$1152:$1152</definedName>
    <definedName name="P_2_95.f" localSheetId="0">'CADOLIVE'!$1153:$1153</definedName>
    <definedName name="P_2_95.g" localSheetId="0">'CADOLIVE'!$1154:$1154</definedName>
    <definedName name="P_2_95.h" localSheetId="0">'CADOLIVE'!$1155:$1155</definedName>
    <definedName name="P_2_95.i" localSheetId="0">'CADOLIVE'!$1157:$1157</definedName>
    <definedName name="P_2_95.j" localSheetId="0">'CADOLIVE'!$1158:$1158</definedName>
    <definedName name="P_2_95.k" localSheetId="0">'CADOLIVE'!$1159:$1159</definedName>
    <definedName name="P_2_95.l" localSheetId="0">'CADOLIVE'!$1160:$1160</definedName>
    <definedName name="P_2_95.m" localSheetId="0">'CADOLIVE'!$1161:$1161</definedName>
    <definedName name="P_2_95.n" localSheetId="0">'CADOLIVE'!$1162:$1162</definedName>
    <definedName name="P_2_95.o" localSheetId="0">'CADOLIVE'!$1163:$1163</definedName>
    <definedName name="P_2_95.p" localSheetId="0">'CADOLIVE'!$1164:$1164</definedName>
    <definedName name="P_2_95.q" localSheetId="0">'CADOLIVE'!$1166:$1166</definedName>
    <definedName name="P_2_95.r" localSheetId="0">'CADOLIVE'!$1167:$1167</definedName>
    <definedName name="P_2_95.s" localSheetId="0">'CADOLIVE'!$1168:$1168</definedName>
    <definedName name="P_2_95.t" localSheetId="0">'CADOLIVE'!$1169:$1169</definedName>
    <definedName name="P_2_95.u" localSheetId="0">'CADOLIVE'!$1170:$1170</definedName>
    <definedName name="P_2_95.v" localSheetId="0">'CADOLIVE'!$1171:$1171</definedName>
    <definedName name="P_2_95.w" localSheetId="0">'CADOLIVE'!$1172:$1172</definedName>
    <definedName name="P_2_95.x" localSheetId="0">'CADOLIVE'!$1173:$1173</definedName>
    <definedName name="P_2_96.a" localSheetId="0">'CADOLIVE'!$1183:$1183</definedName>
    <definedName name="P_2_96.b" localSheetId="0">'CADOLIVE'!$1184:$1184</definedName>
    <definedName name="P_2_96.c" localSheetId="0">'CADOLIVE'!$1185:$1185</definedName>
    <definedName name="P_2_96.d" localSheetId="0">'CADOLIVE'!$1186:$1186</definedName>
    <definedName name="P_2_96.e" localSheetId="0">'CADOLIVE'!$1188:$1188</definedName>
    <definedName name="P_2_96.f" localSheetId="0">'CADOLIVE'!$1189:$1189</definedName>
    <definedName name="P_2_96.g" localSheetId="0">'CADOLIVE'!$1190:$1190</definedName>
    <definedName name="P_2_96.h" localSheetId="0">'CADOLIVE'!$1191:$1191</definedName>
    <definedName name="P_2_96.i" localSheetId="0">'CADOLIVE'!$1193:$1193</definedName>
    <definedName name="P_2_96.j" localSheetId="0">'CADOLIVE'!$1194:$1194</definedName>
    <definedName name="P_2_96.k" localSheetId="0">'CADOLIVE'!$1195:$1195</definedName>
    <definedName name="P_2_96.l" localSheetId="0">'CADOLIVE'!$1196:$1196</definedName>
    <definedName name="P_2_97.a" localSheetId="0">'CADOLIVE'!$1206:$1206</definedName>
    <definedName name="P_2_97.b" localSheetId="0">'CADOLIVE'!$1207:$1207</definedName>
    <definedName name="P_2_97.c" localSheetId="0">'CADOLIVE'!$1208:$1208</definedName>
    <definedName name="P_2_97.d" localSheetId="0">'CADOLIVE'!$1210:$1210</definedName>
    <definedName name="P_2_97.e" localSheetId="0">'CADOLIVE'!$1211:$1211</definedName>
    <definedName name="P_2_97.f" localSheetId="0">'CADOLIVE'!$1212:$1212</definedName>
    <definedName name="P_2_97.g" localSheetId="0">'CADOLIVE'!$1214:$1214</definedName>
    <definedName name="P_2_97.h" localSheetId="0">'CADOLIVE'!$1215:$1215</definedName>
    <definedName name="P_2_97.i" localSheetId="0">'CADOLIVE'!$1216:$1216</definedName>
    <definedName name="P_2_98.a" localSheetId="0">'CADOLIVE'!$1226:$1226</definedName>
    <definedName name="P_2_98.b" localSheetId="0">'CADOLIVE'!$1227:$1227</definedName>
    <definedName name="P_2_98.c" localSheetId="0">'CADOLIVE'!$1228:$1228</definedName>
    <definedName name="P_2_98.d" localSheetId="0">'CADOLIVE'!$1229:$1229</definedName>
    <definedName name="P_2_98.e" localSheetId="0">'CADOLIVE'!$1231:$1231</definedName>
    <definedName name="P_2_98.f" localSheetId="0">'CADOLIVE'!$1232:$1232</definedName>
    <definedName name="P_2_98.g" localSheetId="0">'CADOLIVE'!$1233:$1233</definedName>
    <definedName name="P_2_98.h" localSheetId="0">'CADOLIVE'!$1234:$1234</definedName>
    <definedName name="P_2_98.i" localSheetId="0">'CADOLIVE'!$1236:$1236</definedName>
    <definedName name="P_2_98.j" localSheetId="0">'CADOLIVE'!$1237:$1237</definedName>
    <definedName name="P_2_98.k" localSheetId="0">'CADOLIVE'!$1238:$1238</definedName>
    <definedName name="P_2_98.l" localSheetId="0">'CADOLIVE'!$1239:$1239</definedName>
    <definedName name="P_2_99.a" localSheetId="0">'CADOLIVE'!$1249:$1249</definedName>
    <definedName name="P_2_99.b" localSheetId="0">'CADOLIVE'!$1250:$1250</definedName>
    <definedName name="P_2_99.c" localSheetId="0">'CADOLIVE'!$1251:$1251</definedName>
    <definedName name="P_2_99.d" localSheetId="0">'CADOLIVE'!$1252:$1252</definedName>
    <definedName name="P_2_99.e" localSheetId="0">'CADOLIVE'!$1254:$1254</definedName>
    <definedName name="P_2_99.f" localSheetId="0">'CADOLIVE'!$1255:$1255</definedName>
    <definedName name="P_2_99.g" localSheetId="0">'CADOLIVE'!$1256:$1256</definedName>
    <definedName name="P_2_99.h" localSheetId="0">'CADOLIVE'!$1257:$1257</definedName>
    <definedName name="P_2_99.i" localSheetId="0">'CADOLIVE'!$1259:$1259</definedName>
    <definedName name="P_2_99.j" localSheetId="0">'CADOLIVE'!$1260:$1260</definedName>
    <definedName name="P_2_99.k" localSheetId="0">'CADOLIVE'!$1261:$1261</definedName>
    <definedName name="P_2_99.l" localSheetId="0">'CADOLIVE'!$1262:$1262</definedName>
    <definedName name="PU" localSheetId="0">'CADOLIVE'!$G:$G</definedName>
    <definedName name="Qté" localSheetId="0">'CADOLIVE'!$F:$F</definedName>
    <definedName name="T_0_1" localSheetId="0">'CADOLIVE'!#REF!</definedName>
    <definedName name="Title" localSheetId="0">'CADOLIVE'!#REF!</definedName>
    <definedName name="TVA">0.196</definedName>
    <definedName name="Type" localSheetId="0">'CADOLIVE'!$B:$B</definedName>
    <definedName name="Unit" localSheetId="0">'CADOLIVE'!$E:$E</definedName>
  </definedNames>
  <calcPr fullCalcOnLoad="1"/>
</workbook>
</file>

<file path=xl/comments1.xml><?xml version="1.0" encoding="utf-8"?>
<comments xmlns="http://schemas.openxmlformats.org/spreadsheetml/2006/main">
  <authors>
    <author>manju</author>
  </authors>
  <commentList>
    <comment ref="B1644" authorId="0">
      <text>
        <r>
          <rPr>
            <sz val="9"/>
            <rFont val="Tahoma"/>
            <family val="0"/>
          </rPr>
          <t>HT01</t>
        </r>
      </text>
    </comment>
    <comment ref="B1646" authorId="0">
      <text>
        <r>
          <rPr>
            <sz val="9"/>
            <rFont val="Tahoma"/>
            <family val="0"/>
          </rPr>
          <t>HT02</t>
        </r>
      </text>
    </comment>
    <comment ref="A1644" authorId="0">
      <text>
        <r>
          <rPr>
            <sz val="9"/>
            <rFont val="Tahoma"/>
            <family val="0"/>
          </rPr>
          <t>12:1644</t>
        </r>
      </text>
    </comment>
    <comment ref="A1646" authorId="0">
      <text>
        <r>
          <rPr>
            <sz val="9"/>
            <rFont val="Tahoma"/>
            <family val="0"/>
          </rPr>
          <t>1645</t>
        </r>
      </text>
    </comment>
  </commentList>
</comments>
</file>

<file path=xl/sharedStrings.xml><?xml version="1.0" encoding="utf-8"?>
<sst xmlns="http://schemas.openxmlformats.org/spreadsheetml/2006/main" count="6957" uniqueCount="1868">
  <si>
    <t xml:space="preserve">-    la fourniture de dalles podotactiles souples de largeur 42 cm conformes à la norme NFP98-351ou pavés béton 20x20 au choix du maître d’ouvrage </t>
  </si>
  <si>
    <t>-    la mise en œuvre conformément aux prescriptions du maître d’oeuvre et à la réglementation en vigueur soit à 50 cm du nez du trottoir,</t>
  </si>
  <si>
    <t>-    la fourniture et la mise en œuvre de balises de signalisation de type J11/ J 5/J4 conformes à la norme en vigueur,</t>
  </si>
  <si>
    <t>-    la fourniture d’un revêtement synthétique de faible épaisseur avec aspect pavés naturels,</t>
  </si>
  <si>
    <t>-    la mise en œuvre par collage à l’aide d’une résine bi-composant à séchage rapide et conformément aux prescriptions du fournisseur,</t>
  </si>
  <si>
    <t xml:space="preserve">a)  Pavés isolés posés selon un calpinage régulier : </t>
  </si>
  <si>
    <t xml:space="preserve">b)  Pavés posés en laniérage de 1 à 3 rangs : </t>
  </si>
  <si>
    <t>c)  Forme géométrique d’une surface définie inférieure ou égale à 50 m² :</t>
  </si>
  <si>
    <t xml:space="preserve">d)  Forme géométrique d’une surface définie supérieure à 50 m² : </t>
  </si>
  <si>
    <t>-    la fourniture des matériels au choix du maître d’ouvrage ,</t>
  </si>
  <si>
    <t xml:space="preserve">-    Les brides ou autres accessoires de fixation </t>
  </si>
  <si>
    <t>-    l’orientation et le réglage .</t>
  </si>
  <si>
    <t>-    La dépose des anciens panneaux</t>
  </si>
  <si>
    <t>-    l’amenée et le repli du matériel</t>
  </si>
  <si>
    <t xml:space="preserve">-    la pose des matériels au choix du maître d’ouvrage </t>
  </si>
  <si>
    <t xml:space="preserve">-    la fourniture et la pose de la gaine type et couleur au choix du maître d’ouvrage </t>
  </si>
  <si>
    <t xml:space="preserve">-    Le scellement sur une profondeur de 0.40 </t>
  </si>
  <si>
    <t xml:space="preserve">-    Les matériaux nécessaires au scellement ( béton dosé à 350 kg) et la réfection de sol à </t>
  </si>
  <si>
    <t>Fouille en tranchée en terrain à réaliser après démolition du revêtement de surface.
Exécution par moyens mécaniques avec finition à la main si nécessaire.
Parois dressés avec fruit, en fonction de la nature du terrain.
Réglage, dressement et damage du fond de fouille.
Façon de niches si nécessaires à l'emplacement de boîtes ou autres prévues.
Y compris exécution de tous sondages préliminaires nécessaires pour localiser les réseaux existants.
Y compris toutes sujétions dues à la rencontre et au croisement avec d'autres réseaux.
Toutes détériorations aux réseaux rencontrés devront être remises en état immédiatement.
Mise en dépôt des terres sur les berges.
Dimensions de la tranchée :
 * largeur minimale : 0,40 m ;
 * profondeur minimale : sous chaussée lourde : 1,00 m ;
 * sous niveau du sol :
   o sous chaussée légère, parkings, etc. : 0,80 m ;
   o sous circulation piétons : 0,70 m.</t>
  </si>
  <si>
    <r>
      <t xml:space="preserve">c)  </t>
    </r>
    <r>
      <rPr>
        <b/>
        <sz val="9"/>
        <color indexed="10"/>
        <rFont val="Arial"/>
        <family val="2"/>
      </rPr>
      <t xml:space="preserve">Plus ou moins value par 50Kg de liant supplémentaire : </t>
    </r>
  </si>
  <si>
    <t>-    la fourniture de drains en PVC annelés perforés ou non avec chaussette de géotextile à libre écoulement suivant les instructions du CCTG,</t>
  </si>
  <si>
    <t>-    la fourniture aux différentes configurations et raccordements</t>
  </si>
  <si>
    <t xml:space="preserve">a)  DN 100 mm : </t>
  </si>
  <si>
    <t>b)  DN 160 mm :</t>
  </si>
  <si>
    <t>c)  DN 200 mm :</t>
  </si>
  <si>
    <t>d)  DN 315 mm :</t>
  </si>
  <si>
    <t>-    la fourniture d’accessoires de raccordement pour tuyaux en PVC bipeau Classe CR8,</t>
  </si>
  <si>
    <t>a)  Culotte simple (quelque soit l’angle) DN canalisation principale ≤ 200 mm :</t>
  </si>
  <si>
    <t>b)  Culotte simple (quelque soit l’angle) DN canalisation principale &gt; 200 mm :</t>
  </si>
  <si>
    <t>-    La fourniture d’accessoires de raccordement pour tuyaux en fonte ductile,</t>
  </si>
  <si>
    <t>a)  Culotte simple (quelque soit l’angle) DN £ 250 mm et dn =150 mm :</t>
  </si>
  <si>
    <t>b)  Culotte simple (quelque soit l’angle) DN &gt; 250 mm et dn &gt;150 mm :</t>
  </si>
  <si>
    <t>c)  Piquage orientable à découpe rectangulaire DN £ 250 mm et dn =150 mm :</t>
  </si>
  <si>
    <t xml:space="preserve">d)  Piquage orientable à découpe rectangulaire DN &gt; 250 mm et dn &gt;150 mm : </t>
  </si>
  <si>
    <t>-    La fourniture d’accessoires de raccordement pour tuyaux de matériaux divers,</t>
  </si>
  <si>
    <t xml:space="preserve">a)  Raccord de piquage universel pour tuyau béton DN £ 400 mm et dn =160 mm : </t>
  </si>
  <si>
    <t xml:space="preserve">b)  Raccord de piquage universel pour tuyau béton DN &gt; 400 mm et dn &gt;160 mm : </t>
  </si>
  <si>
    <t>-    la fourniture de fourreaux en PVC,</t>
  </si>
  <si>
    <t>-    la fourniture aux différentes configurations et raccordements, y compris manchon, écarteurs, peignes, bouchons,…</t>
  </si>
  <si>
    <t xml:space="preserve">a)  DN 25/28 mm : </t>
  </si>
  <si>
    <t>b)  DN 42/45 mm :</t>
  </si>
  <si>
    <t xml:space="preserve">c)  DN 55/60 mm : </t>
  </si>
  <si>
    <t>-    la fourniture de fourreaux double paroi annelés TPC en barres de toute couleur,</t>
  </si>
  <si>
    <t>-    la fourniture au différentes configurations et raccordements, y compris manchon,coudes, écarteurs, peignes, bouchons,…</t>
  </si>
  <si>
    <t>a)  DN 63 mm :</t>
  </si>
  <si>
    <t xml:space="preserve">b)  DN 75 mm : </t>
  </si>
  <si>
    <t xml:space="preserve">c)  DN 110 mm : </t>
  </si>
  <si>
    <t>d)  DN 160 mm :</t>
  </si>
  <si>
    <t>-    la fourniture de cablettes de cuivre nu de section 25 mm²,</t>
  </si>
  <si>
    <t>-    la fourniture aux différentes configurations et raccordements, y compris les connecteurs des dérivations,</t>
  </si>
  <si>
    <t>-    la fourniture de tampons en fonte ductile conforme aux normes en vigueur</t>
  </si>
  <si>
    <t>a)  dimension 400 mm x 400 mm</t>
  </si>
  <si>
    <t>b)  dimension 500 mm x 500 mm</t>
  </si>
  <si>
    <t>c)  dimension 600 mm x 600 mm</t>
  </si>
  <si>
    <t>d)  dimension 700 mm x 700 mm</t>
  </si>
  <si>
    <t>e)  dimension 400 mm x 400 mm</t>
  </si>
  <si>
    <t>f)   dimension 500 mm x 500 mm</t>
  </si>
  <si>
    <t>g)  dimension 600 mm x 600 mm</t>
  </si>
  <si>
    <t>h)  diamètre d’ouverture 600 mm</t>
  </si>
  <si>
    <t>i)   diamètre d’ouverture 600 mm</t>
  </si>
  <si>
    <t>j)   diamètre d’ouverture 600 mm</t>
  </si>
  <si>
    <t>k)  diamètre d’ouverture 600 mm</t>
  </si>
  <si>
    <t>-    la fourniture de grilles et avaloirs en fonte ductile conforme aux normes en vigueur</t>
  </si>
  <si>
    <t>i)   profil T</t>
  </si>
  <si>
    <t>j)   profil A</t>
  </si>
  <si>
    <t>-    la fourniture d’éléments en béton armé préfabriqués nécessaires à la construction de regards de visite (fond à cunette préfabriquée, élément droit, dalle réductrice, tête réductrice,rehausse sous cadre,…)</t>
  </si>
  <si>
    <t>-    la fourniture et la pose d’échelons tous les 30 cm et d’une crosse réglable,</t>
  </si>
  <si>
    <t>-    la fourniture d’éléments de fond à cunette incorporée droit, avec changement de direction ou branchement standard munis de joints inter matériaux gravitaires,</t>
  </si>
  <si>
    <t>-    la fourniture au différentes configurations et raccordements</t>
  </si>
  <si>
    <t xml:space="preserve">a)  Diamètre Nominal 1000 : </t>
  </si>
  <si>
    <t xml:space="preserve">b)  Diamètre Nominal 1500 : </t>
  </si>
  <si>
    <t>-    la fourniture d’éléments en béton armé préfabriqués nécessaires à la construction de regards de branchements munis de joints d’étanchéité pour le raccordement des canalisations,</t>
  </si>
  <si>
    <t xml:space="preserve">a)  regard 40x40 : </t>
  </si>
  <si>
    <t xml:space="preserve">b)  regard 50x50 : </t>
  </si>
  <si>
    <t xml:space="preserve">c)  regard 60x60 : </t>
  </si>
  <si>
    <t>-    la fourniture de manchon de scellement en fonte pour liaison étanche entre le collecteur fonte et le regard de visite type PAM « INTEGRAL à joints Standard Nitrile » ou similaire,</t>
  </si>
  <si>
    <t xml:space="preserve">a)  Canalisation de DN 150 : </t>
  </si>
  <si>
    <t xml:space="preserve">b)  Canalisation de DN 200 : </t>
  </si>
  <si>
    <t>-    la fourniture d’éléments de caniveaux à grille avec pente en béton armé préfabriqués équipés de systèmes antivol type acodrain ou similaire,</t>
  </si>
  <si>
    <t xml:space="preserve">a)  Largeur utile 10 cm : </t>
  </si>
  <si>
    <t xml:space="preserve">b)  Largeur utile 20 cm : </t>
  </si>
  <si>
    <t xml:space="preserve">c)  Largeur utile 10 cm : </t>
  </si>
  <si>
    <t xml:space="preserve">d)  Largeur utile 20 cm : </t>
  </si>
  <si>
    <t>-    la fourniture de mobiliers urbains,</t>
  </si>
  <si>
    <t xml:space="preserve">a)  potelet fixe à gorge en acier normalisé pour PMR identique au matériel posé sur la commune (RAL au choix)  : </t>
  </si>
  <si>
    <t xml:space="preserve">b)  potelet fixe à gorge en acier normalisé pour PMR identique au matériel posé sur la commune (RAL au choix)  : </t>
  </si>
  <si>
    <t xml:space="preserve">c)  borne granit cylindrique ou parallélépipédique h : 70 cm : </t>
  </si>
  <si>
    <t xml:space="preserve">d)  borne granit h : 85 cm : </t>
  </si>
  <si>
    <t xml:space="preserve">a)  longueur 1,00 mètre  : </t>
  </si>
  <si>
    <t xml:space="preserve">b)  longueur 1,50 mètres  : </t>
  </si>
  <si>
    <t xml:space="preserve">c)  longueur 2,00 mètres : </t>
  </si>
  <si>
    <t>-    la fourniture de corbeilles (RAL au choix),</t>
  </si>
  <si>
    <t xml:space="preserve">a)  corbeille identique à celles posées sur la commune  : </t>
  </si>
  <si>
    <t>-    l’enlèvement de la végétation et des plantations (hormis celles de diamètre supérieur à 0,40 m mesuré à 1,00 m du sol),</t>
  </si>
  <si>
    <t>-    le transport et les droits de décharge,</t>
  </si>
  <si>
    <t>-    le nettoyage du chantier,</t>
  </si>
  <si>
    <t>-    la main d’oeuvre,</t>
  </si>
  <si>
    <t>-    le transport à pied d’oeuvre du matériel,</t>
  </si>
  <si>
    <t>-    le traçage éventuel,</t>
  </si>
  <si>
    <t>-    la découpe sur une épaisseur maximale de 10 cm,</t>
  </si>
  <si>
    <t>-    le repliement du matériel,</t>
  </si>
  <si>
    <t xml:space="preserve">a)  à la tronçonneuse : </t>
  </si>
  <si>
    <t xml:space="preserve">b)  au compresseur muni d’une palette : </t>
  </si>
  <si>
    <t>-    le sciage des parties à conserver,</t>
  </si>
  <si>
    <t>-    le terrassement, le tri et le chargement des déblais y compris l’enrobé,</t>
  </si>
  <si>
    <t>-    la dépose des bordures existantes dans l’emprise des travaux y compris solin de fondation,</t>
  </si>
  <si>
    <t>-    l’évacuation des déblais en décharges publiques y compris les droits de décharge,</t>
  </si>
  <si>
    <t>-    la mise à niveau et le compactage des fonds de forme suivant les profils prescrits par le maître d’oeuvre,</t>
  </si>
  <si>
    <t>a)  Chaussée ou trottoir empierré, en grave naturelle ou reconstituée :</t>
  </si>
  <si>
    <t>b)  Chaussée ou trottoir en matériaux traités aux liants hydrauliques ou hydrocarbonés :</t>
  </si>
  <si>
    <t>-    le terrassement en tranchées en terrain de toutes natures, non compris les démolitions de corps de chaussée et de trottoirs,</t>
  </si>
  <si>
    <t>-    la démolition de maçonnerie d’éléments homogènes de volume inférieur à 0,50 m3,</t>
  </si>
  <si>
    <t>-    la mise en dépôt provisoire des terres sur berges,</t>
  </si>
  <si>
    <t>-    le dressement des parois,</t>
  </si>
  <si>
    <t>-    les sujétions liées aux nécessités d'étaiement et de blindage même jointif,</t>
  </si>
  <si>
    <t>-    les sondages et précautions d'usage à l'approche de réseaux existants,</t>
  </si>
  <si>
    <t>-    toutes sujétions, difficultés ou pertes de temps résultant de la rencontre de canalisations ou d'ouvrages souterrains, compris adaptations et réfections éventuelles des ouvrages démontés pour le passage,</t>
  </si>
  <si>
    <t>-    les sujétions liées au travail dans l'embarras des réseaux,</t>
  </si>
  <si>
    <t>-    les épuisements d'eaux de toute nature quels que soient leur débit et leur provenance jusqu’à 30 m3/h,</t>
  </si>
  <si>
    <t>-    le réglage et le compactage des fonds de fouille compris finition à la main et approfondissement pour lit de pose,</t>
  </si>
  <si>
    <t>-    la reprise des matériaux stockés sur berge, le tri et l’évacuation en décharge publique y compris droits de décharge,</t>
  </si>
  <si>
    <t xml:space="preserve">a)  Tranchée jusqu’à 1,30 m de profondeur : </t>
  </si>
  <si>
    <t xml:space="preserve">b)  Tranchée de profondeur de 1,31 à 3,00 m : </t>
  </si>
  <si>
    <t xml:space="preserve">c)  Tranchée pour profondeur au-delà de 3,00 m : </t>
  </si>
  <si>
    <t xml:space="preserve">a)  Travaux effectués à la machine : </t>
  </si>
  <si>
    <t xml:space="preserve">b)  Travaux effectués à la main : : </t>
  </si>
  <si>
    <t>-    la fourniture et la mise en œuvre du matériel ainsi que la main d’œuvre spécialisé,</t>
  </si>
  <si>
    <t>-    la démolition de maçonnerie ou de canalisation,</t>
  </si>
  <si>
    <t>-    la mise en dépôt provisoire,</t>
  </si>
  <si>
    <t>-    les sujétions liées aux nécessités d'étaiement,</t>
  </si>
  <si>
    <t>-    le réglage et le compactage des sols après démolition,</t>
  </si>
  <si>
    <t>-    la reprise des matériaux stockés, le tri et l’évacuation sur le lieu précisé par le maître d’œuvre ou en décharge publique y compris droits de décharge,</t>
  </si>
  <si>
    <t>a)  Maçonnerie en pierres ou en moellons hourdés à la chaux ou au plâtre :</t>
  </si>
  <si>
    <t>b)  Maçonnerie en pierres ou en moellons hourdés au mortier de ciment :</t>
  </si>
  <si>
    <t xml:space="preserve">c)  Maçonnerie en parpaing ou briques : </t>
  </si>
  <si>
    <t xml:space="preserve">d)  Canalisation de diamètre = 300 mm : </t>
  </si>
  <si>
    <t xml:space="preserve">e)  Canalisation de diamètre &gt; 300 mm : </t>
  </si>
  <si>
    <t>-    le tri des moellons déconstruits,</t>
  </si>
  <si>
    <t>-    le nettoyage des moellons,</t>
  </si>
  <si>
    <t>-    l’éventuel transports dans un lieu indiqué par le maître d’oeuvre,</t>
  </si>
  <si>
    <t>-    le stockage,</t>
  </si>
  <si>
    <t>-    le transport à pied d’œuvre du matériel,</t>
  </si>
  <si>
    <t>-    le repliement et l’évacuation du matériel,</t>
  </si>
  <si>
    <t>a)  Blindage par caisson mobile</t>
  </si>
  <si>
    <t xml:space="preserve">b)  Blindage en bois jointif : </t>
  </si>
  <si>
    <t xml:space="preserve">c)  Blindage en bois semi jointif : </t>
  </si>
  <si>
    <t>-    le sciage des parties à conserver</t>
  </si>
  <si>
    <t>-    le dégagement du pied du mobilier (potelets, bornes, barrières, corbeilles ) ou du support,</t>
  </si>
  <si>
    <t>-    la démolition des éventuels massifs de fondation,</t>
  </si>
  <si>
    <t>-    l’évacuation des déchets et des éléments non réutilisés en décharge publique y compris droits de décharge,</t>
  </si>
  <si>
    <t>-    En cas de réemploi, la dépose soignée et le stockage ou le transport en dépôt désigné par le maître d’œuvre ainsi que le nettoyage,</t>
  </si>
  <si>
    <t>-    le remblaiement de la fouille à l’identique, y compris fourniture des matériaux,</t>
  </si>
  <si>
    <t xml:space="preserve">a)  Non réutilisé : </t>
  </si>
  <si>
    <t xml:space="preserve">b)  Réutilisé : </t>
  </si>
  <si>
    <t>-    la dépose des éléments,</t>
  </si>
  <si>
    <t>-    En cas de réemploi, la dépose soignée et le stockage ou le transport en dépôt désigné par le maître d’œuvre ainsi que le décrottage,</t>
  </si>
  <si>
    <t xml:space="preserve">a)  pavés ou dalles posés sur sable : </t>
  </si>
  <si>
    <t xml:space="preserve">b)  pavés ou dalles posés sur mortier : </t>
  </si>
  <si>
    <t>-    la dépose soignée et le stockage ou le transport en dépôt désigné par le maître d’œuvre ainsi que le décrottage</t>
  </si>
  <si>
    <t>b)  pavés ou dalles posés sur mortier :</t>
  </si>
  <si>
    <t>-    le décrouttage manuel ou mécanique des matériaux enrobés,</t>
  </si>
  <si>
    <t>-    l’évacuation des déchets en décharge publique y compris droits de décharge,</t>
  </si>
  <si>
    <t xml:space="preserve">a)  A la main : </t>
  </si>
  <si>
    <t xml:space="preserve">b)  Mécaniquement : </t>
  </si>
  <si>
    <t>-    le transport du matériel à pied d’œuvre y compris le personnel nécessaire à son bon fonctionnement,</t>
  </si>
  <si>
    <t>-    les frais et les équipements,</t>
  </si>
  <si>
    <t>-    le traçage et le repérage des zones à traiter,</t>
  </si>
  <si>
    <t>-    la démolition manuelle nécessaire,</t>
  </si>
  <si>
    <t>-    le balayage soigné à l’aide d’une balayeuse aspiratrice,</t>
  </si>
  <si>
    <t xml:space="preserve">a)  Surface rabotée = 500 m² : </t>
  </si>
  <si>
    <t xml:space="preserve">b)  Surface rabotée &gt; 500 m² : </t>
  </si>
  <si>
    <t>a)  de largeur 0,50 mètre :</t>
  </si>
  <si>
    <t xml:space="preserve">b)  de largeur 1,00 mètre : </t>
  </si>
  <si>
    <t xml:space="preserve">c)  de largeur 1,50 mètre : </t>
  </si>
  <si>
    <t>-    la recherche éventuelle,</t>
  </si>
  <si>
    <t>-    la dépose de l’ouvrage,</t>
  </si>
  <si>
    <t>-    la mise à niveau de l’ouvrage (rehaussement ou abaissement),</t>
  </si>
  <si>
    <t xml:space="preserve">a)  Bouche à clé gaz, eau,….. : </t>
  </si>
  <si>
    <t xml:space="preserve">b)  Regard ou grille de diamètre ou coté inférieur ou égal à 0,80 m : </t>
  </si>
  <si>
    <t xml:space="preserve">c)  Regard ou grille de diamètre ou coté supérieur à 0,80 m : </t>
  </si>
  <si>
    <t>d)  Chambre de tirage France Télécom type L2T, L3T et L4T (les chambres L0T et L1T seront payées au prix N°200.23 b)) :</t>
  </si>
  <si>
    <t xml:space="preserve">e)  Chambre de tirage France Télécom type L5T et L6T : </t>
  </si>
  <si>
    <t xml:space="preserve">f)   Bouche d’égout à avaloir (tampon et bavette) : </t>
  </si>
  <si>
    <t>-    le percement des ouvrages,</t>
  </si>
  <si>
    <t>-    la réalisation éventuelle d’une cunette,</t>
  </si>
  <si>
    <t>-    les scellements étanches au mortier,</t>
  </si>
  <si>
    <t xml:space="preserve">a)  DN = 500 mm : </t>
  </si>
  <si>
    <t xml:space="preserve">b)  DN &lt; 500 mm : </t>
  </si>
  <si>
    <t xml:space="preserve">c)  DN = 500 mm : </t>
  </si>
  <si>
    <t xml:space="preserve">d)  DN &lt; 500 mm : </t>
  </si>
  <si>
    <t>-    le réglage et le compactage du fond de forme,</t>
  </si>
  <si>
    <t>-    la fourniture des matériaux nécessaires au lit de pose &amp; à la réalisation des joints,</t>
  </si>
  <si>
    <t>-    la mise en oeuvre du lit de pose en sable de rivière fin ou en mortier sur une épaisseur moyenne de 5 cm,</t>
  </si>
  <si>
    <t>-    la mise en œuvre des pavés ou dalles,</t>
  </si>
  <si>
    <t>-    la réalisation des coupes éventuelles par sciage,</t>
  </si>
  <si>
    <t>-    le cylindrage pour mis en place,</t>
  </si>
  <si>
    <t>-    la réalisation des joints avec du sable de rivière fin y compris le balayage des rejets après un mois et leur évacuation à la décharge publique ou le scellement au mortier colle,</t>
  </si>
  <si>
    <t>-    le repliement &amp; le nettoyage du chantier.</t>
  </si>
  <si>
    <t xml:space="preserve">a)  lit de pose et joint au sable – Surface inférieur = 20 m² : </t>
  </si>
  <si>
    <t xml:space="preserve">b)  lit de pose et joint au sable – Surface inférieur &gt; 20 m² : </t>
  </si>
  <si>
    <t xml:space="preserve">c)  lit de pose et joint au mortier – Surface inférieur = 20 m² : </t>
  </si>
  <si>
    <t xml:space="preserve">d)  lit de pose et joint au mortier – Surface inférieur &gt; 20 m² : </t>
  </si>
  <si>
    <t xml:space="preserve">e)  lit de pose et joint au sable – Surface inférieur = 20 m² : </t>
  </si>
  <si>
    <t xml:space="preserve">f)   lit de pose et joint au sable – Surface inférieur &gt; 20 m² : </t>
  </si>
  <si>
    <t>-    le sciage des parties à conserver y compris l’enrobé,</t>
  </si>
  <si>
    <t>-    le cas échéant, l'exécution d'une tranchée comprenant le décrouttage de l’enrobé,</t>
  </si>
  <si>
    <t xml:space="preserve">-    le réglage et compactage du fond de forme, </t>
  </si>
  <si>
    <t>-    la fourniture et la mise en œuvre du béton dosé à 250 kg,</t>
  </si>
  <si>
    <t>-    la mise en œuvre des éléments préfabriqués normalisés,</t>
  </si>
  <si>
    <t>-    le calage et le jointement,</t>
  </si>
  <si>
    <t>-    les sujétions pour la mise en place d'éléments de 0.50m pour des rayons &lt; à 8m,</t>
  </si>
  <si>
    <t>-    la mise en place d'un patin d'épaulement en attente du tapis définitif ou d'accès provisoire,</t>
  </si>
  <si>
    <t xml:space="preserve">a)  Bordurette Type P1, P2, P3 et P3 arasée : </t>
  </si>
  <si>
    <t xml:space="preserve">b)  Bordures et caniveaux préfabriqués : </t>
  </si>
  <si>
    <t xml:space="preserve">c)  Bordures grès : </t>
  </si>
  <si>
    <t xml:space="preserve">d)  Eléments d’îlots directionnels : </t>
  </si>
  <si>
    <t xml:space="preserve">e)  Bordures chasse roue type BPDE : </t>
  </si>
  <si>
    <t>f)   Bordures de défense :</t>
  </si>
  <si>
    <t>g)  Doubles Bordures Granit :</t>
  </si>
  <si>
    <t>-    le nettoyage de la surface,</t>
  </si>
  <si>
    <t>-    la fourniture et la mise en œuvre de colle,</t>
  </si>
  <si>
    <t>-    les sujétions pour la mise en place d'éléments pour des rayons &lt; à 8m,</t>
  </si>
  <si>
    <t xml:space="preserve">a)  Bordures préfabriqués de type T : </t>
  </si>
  <si>
    <t xml:space="preserve">b)  Eléments d’îlots directionnels : </t>
  </si>
  <si>
    <t xml:space="preserve">c)  Bordures chasse roue type BPDE : </t>
  </si>
  <si>
    <t>d)  Bordures de défense :</t>
  </si>
  <si>
    <t>-    le réglage et compactage du fond de forme,</t>
  </si>
  <si>
    <t>-    la mise en place du matériau, éventuellement à la main, sur l’épaisseur prescrite par le maître d’œuvre,</t>
  </si>
  <si>
    <t>-    le régalage, et le compactage par couches,</t>
  </si>
  <si>
    <t>a)  Grand rendement : (Chaussée ou tranchée large peu encombrée)</t>
  </si>
  <si>
    <t>b)  Faible rendement : (Trottoir ou tranchée peu large ou encombrée)</t>
  </si>
  <si>
    <t>-    le balayage de la surface à revêtir,</t>
  </si>
  <si>
    <t>-    la découpe soignée et les engravures en limites de surfaces,</t>
  </si>
  <si>
    <t>-    l'évacuation des déchets en décharge publique y compris droits de décharge,</t>
  </si>
  <si>
    <t>-    l'application d'une couche d'accrochage,</t>
  </si>
  <si>
    <t>-    la mise en œuvre avec réglage et compactage méthodique,</t>
  </si>
  <si>
    <t>-    la mise en œuvre d’un coulis à l’émulsion de bitume sur les joints suivi d’un léger sablage,</t>
  </si>
  <si>
    <t xml:space="preserve">a)  Grand rendement – Tonnage &gt; 50 T : </t>
  </si>
  <si>
    <t xml:space="preserve">b)  Faible rendement – Tonnage = 50 T : </t>
  </si>
  <si>
    <t xml:space="preserve">c)  Manuelle: </t>
  </si>
  <si>
    <t>-    le sciage soigné en forme géométrique simple (carré ou rectangle),</t>
  </si>
  <si>
    <t>-    le repiquage et le nettoyage à vif du support,</t>
  </si>
  <si>
    <t>-    la mise en œuvre sur l’épaisseur prescrite par le maître d’œuvre avec réglage et compactage méthodique,</t>
  </si>
  <si>
    <t>-    les contrôles et essais éventuels,</t>
  </si>
  <si>
    <t xml:space="preserve">a)  Interventions ponctuelles d’une surface totale cumulée = 20 m² : </t>
  </si>
  <si>
    <t>b)  Interventions ponctuelles d’une surface totale cumulée &gt; 20 m² :</t>
  </si>
  <si>
    <t>-    les analyses physico-chimiques de la terre végétale avant tout réemploi. Les matériaux impropres seront évacués en décharge autorisée quels que soient les droits,</t>
  </si>
  <si>
    <t>-    la mise en œuvre régalage et réglage, sur les épaisseurs spécifiées,</t>
  </si>
  <si>
    <t>-    l’épierrage et l’élimination de tous les éléments impropres (gravois, pierres, déchets végétaux) et leur évacuation aux décharges publiques y compris droits de décharge,</t>
  </si>
  <si>
    <t>-    les grosses mottes seront brisées,</t>
  </si>
  <si>
    <t>-    l’exécution et la mise en place des coffrages,</t>
  </si>
  <si>
    <t>-    la mise en place du béton selon les prescriptions du maître d’oeuvre,</t>
  </si>
  <si>
    <t>-    le façonnage et la mise en œuvre des aciers,</t>
  </si>
  <si>
    <t>-    le dressement des surfaces,</t>
  </si>
  <si>
    <t>b)  Béton pour béton armé CPA 45 dosé à 200Kg/m3 :</t>
  </si>
  <si>
    <t>c)  Béton pour béton armé CPA 45 dosé à 350Kg/m3 :</t>
  </si>
  <si>
    <t>-    le réglage et le compactage des fonds de fouille,</t>
  </si>
  <si>
    <t>-    la mise en œuvre des matériaux drainant constituant le lit de pose de 0.15m d'épaisseur, le cas échéant, la fourniture et la pose d'un drain routier,</t>
  </si>
  <si>
    <t>-    la pose de canalisations d'assainissement selon les pentes spécifiées au projet,</t>
  </si>
  <si>
    <t>-    la fourniture et la mise en place des joints, manchons et tous raccords nécessaires y compris culottes de branchement ou piquage orientable,</t>
  </si>
  <si>
    <t>-    les découpes éventuelles,</t>
  </si>
  <si>
    <t>-    le raccordement au réseau existant.</t>
  </si>
  <si>
    <t xml:space="preserve">b)  DN 400 mm : </t>
  </si>
  <si>
    <t xml:space="preserve">c)  DN 500 mm : </t>
  </si>
  <si>
    <t xml:space="preserve">d)  DN 600 mm : </t>
  </si>
  <si>
    <t xml:space="preserve">e)  DN 800 mm : </t>
  </si>
  <si>
    <t xml:space="preserve">f)   DN 1000 mm : </t>
  </si>
  <si>
    <t xml:space="preserve">g)  DN 150 mm : </t>
  </si>
  <si>
    <t xml:space="preserve">h)  DN 200 mm : </t>
  </si>
  <si>
    <t xml:space="preserve">i)   DN 250 mm : </t>
  </si>
  <si>
    <t xml:space="preserve">j)   DN 300 mm : </t>
  </si>
  <si>
    <t xml:space="preserve">k)  DN 400 mm : </t>
  </si>
  <si>
    <t xml:space="preserve">l)   DN 600 mm : </t>
  </si>
  <si>
    <t xml:space="preserve">m)  DN 150 mm : </t>
  </si>
  <si>
    <t xml:space="preserve">n)  DN 200 mm : </t>
  </si>
  <si>
    <t xml:space="preserve">o)  DN 250 mm : </t>
  </si>
  <si>
    <t xml:space="preserve">p)  DN 300 mm : </t>
  </si>
  <si>
    <t xml:space="preserve">q)  DN 400 mm : </t>
  </si>
  <si>
    <t>-    la mise en œuvre des matériaux drainant constituant le lit de pose,</t>
  </si>
  <si>
    <t>-    le réglage des éléments,</t>
  </si>
  <si>
    <t>-    la fourniture et pose de peignes et écarteurs,</t>
  </si>
  <si>
    <t>-    la pose de drains et fourreaux selon les prescriptions du maître d’oeuvre</t>
  </si>
  <si>
    <t>-    la fourniture et la mise en place des joints, manchons et tous raccords nécessaires,</t>
  </si>
  <si>
    <t xml:space="preserve">b)  DN 160 mm : </t>
  </si>
  <si>
    <t xml:space="preserve">c)  DN 200 mm : </t>
  </si>
  <si>
    <t xml:space="preserve">e)  DN 315 mm : </t>
  </si>
  <si>
    <t xml:space="preserve">f)   DN 25/28 mm : </t>
  </si>
  <si>
    <t xml:space="preserve">g)  DN 42/45 mm : </t>
  </si>
  <si>
    <t xml:space="preserve">h)  DN 55/60 mm : </t>
  </si>
  <si>
    <t xml:space="preserve">e)  DN 63 mm : </t>
  </si>
  <si>
    <t xml:space="preserve">f)   DN 75 mm : </t>
  </si>
  <si>
    <t xml:space="preserve">g)  DN 110 mm : </t>
  </si>
  <si>
    <t>i)   DN 160 mm :</t>
  </si>
  <si>
    <t xml:space="preserve">j)   Cablette de cuivre section 25 mm² : </t>
  </si>
  <si>
    <t>-    le terrassement manuel nécessaire l’ajustement,</t>
  </si>
  <si>
    <t>-    les découpes ou carottages de la canalisation,</t>
  </si>
  <si>
    <t>-    la pose mise en place des éléments,</t>
  </si>
  <si>
    <t>-    la fourniture et la mise en place des joints, et tous raccords nécessaires,</t>
  </si>
  <si>
    <t>a)  Culotte simple (quelque soit l’angle) DN canalisation principale = 200 mm :</t>
  </si>
  <si>
    <t xml:space="preserve">b)  Culotte simple (quelque soit l’angle) DN canalisation principale &gt; 200 mm : </t>
  </si>
  <si>
    <t xml:space="preserve">c)  Culotte simple (quelque soit l’angle) DN £ 250 mm et dn =150 mm : </t>
  </si>
  <si>
    <t xml:space="preserve">d)  Culotte simple (quelque soit l’angle) DN &gt; 250 mm et dn &gt;150 mm : </t>
  </si>
  <si>
    <t xml:space="preserve">e)  Piquage orientable à découpe rectangulaire DN £ 250 mm et dn =150 mm : </t>
  </si>
  <si>
    <t xml:space="preserve">f)   Piquage orientable à découpe rectangulaire DN &gt; 250 mm et dn &gt;150 mm : </t>
  </si>
  <si>
    <t>-    la pose mise en place du manchon,</t>
  </si>
  <si>
    <t>-    la pose mise en place du raccord,</t>
  </si>
  <si>
    <t>-    le démontage et l’évacuation du dispositif de fermeture existant, y compris sciage et démolition de chaussée ou trottoir,</t>
  </si>
  <si>
    <t>-    le nettoyage de la tête du regard,</t>
  </si>
  <si>
    <t>-    la fourniture, la mise en place et le scellement des éléments : têtes, rehausses éventuels,</t>
  </si>
  <si>
    <t>-    la fourniture, la mise en place et la vibration des bétons,</t>
  </si>
  <si>
    <t>-    la pose de l’élément en fonte ductile conforme aux normes en vigueur au niveau définitif,</t>
  </si>
  <si>
    <t>-    la réfection à l'identique du revêtement et de la constitution sous-jacente,</t>
  </si>
  <si>
    <t>-    les joints avec les bordures,</t>
  </si>
  <si>
    <t>-    la vérification de l’étanchéité du regard,</t>
  </si>
  <si>
    <t>-    le nettoyage du regard et des abords,</t>
  </si>
  <si>
    <t>a)  Tampons ou grilles de diamètre ou coté &lt; à 800 mm :</t>
  </si>
  <si>
    <t xml:space="preserve">b)  Tampons ou grilles de diamètre ou coté = à 800 mm : </t>
  </si>
  <si>
    <t xml:space="preserve">c)  Tampons ou grilles de diamètre ou coté &lt; à 800 mm : </t>
  </si>
  <si>
    <t xml:space="preserve">d)  Tampons ou grilles de diamètre ou coté = à 800 mm : </t>
  </si>
  <si>
    <t xml:space="preserve">e)  Avaloirs à barreaux sélecteurs type PAM « SELECTA 500 » profil A ou T : </t>
  </si>
  <si>
    <t>-    l’exécution des fouilles nécessaires à sa construction y compris sciage et démolition de chaussée ou trottoir,</t>
  </si>
  <si>
    <t>-    le compactage du fond de fouille et le dressement des parois,</t>
  </si>
  <si>
    <t>-    les coffrages éventuels,</t>
  </si>
  <si>
    <t>-    la pose d’éléments en béton armé préfabriqués,</t>
  </si>
  <si>
    <t>-    la réalisation de cunette droite ou avec changement de direction, y compris le cas échéant la démolition de béton,</t>
  </si>
  <si>
    <t>-    la fourniture et la pose de joints d’étanchéité inter matériaux,</t>
  </si>
  <si>
    <t>-    le jointoiement des différents éléments de raccordements,</t>
  </si>
  <si>
    <t>-    l’exécution des remblais autour de l’ouvrage, y compris toutes fournitures,</t>
  </si>
  <si>
    <t>-    la fourniture et le scellement de deux colliers de fixation en acier galvanisé,</t>
  </si>
  <si>
    <t>-    la fourniture et la pose d’un té permettant l’accès à la chute accompagnée depuis le haut,</t>
  </si>
  <si>
    <t>-    la fourniture et la pose des coudes et raccordements nécessaires,</t>
  </si>
  <si>
    <t>-    la fourniture et la pose d’un élément de canalisation quelle que soit sa longueur,</t>
  </si>
  <si>
    <t>-    la pose d’éléments en béton préfabriqués,</t>
  </si>
  <si>
    <t>-    la réalisation de cunette droite ou avec changement de direction,</t>
  </si>
  <si>
    <t>a)  regard 40x40 :</t>
  </si>
  <si>
    <t>-    la fourniture, la mise en place et la vibration des bétons y compris la fourniture et pose d’armatures ou la pose d’éléments en béton préfabriqués,</t>
  </si>
  <si>
    <t>-    la réalisation d’une décantation de 30 cm au minimum,</t>
  </si>
  <si>
    <t>-    la pose d’éléments de caniveaux à grille ,</t>
  </si>
  <si>
    <t>-    le nettoyage des abords.</t>
  </si>
  <si>
    <t>-    le terrassement éventuellement manuel nécessaire à la pose y compris sciage et démolition de chaussée ou trottoir,</t>
  </si>
  <si>
    <t>-    la fourniture, la mise en oeuvre de béton dosé à 200 kg,</t>
  </si>
  <si>
    <t>-    le scellement et la mise à niveau du mobilier,</t>
  </si>
  <si>
    <t>-    la réfection des revêtements, y compris toutes fournitures,</t>
  </si>
  <si>
    <t>-    le nettoyage.</t>
  </si>
  <si>
    <t xml:space="preserve">a)  potelet ou borne : </t>
  </si>
  <si>
    <t xml:space="preserve">b)  barrière : </t>
  </si>
  <si>
    <t xml:space="preserve">c)  banc : </t>
  </si>
  <si>
    <t>-    l’amené du matériel et la main d’œuvre spécialisé,</t>
  </si>
  <si>
    <t>-    le scellement, la pose et la mise à niveau du mobilier,</t>
  </si>
  <si>
    <t>-    la réalisation des planches d’essais de 1 m²,</t>
  </si>
  <si>
    <t>-    la fourniture et la pose d'un polyane sur le fond de forme,</t>
  </si>
  <si>
    <t>-    la fourniture et la mise en œuvre d'un béton légèrement armé ou d'un béton de fibres type CPA 55 dosé au minimum à 350kg/m³, avec plastifiant entraîneur d'air et comprenant des granulats silico calcaire roulés,</t>
  </si>
  <si>
    <t>-    l'application d'un gel retardateur de prise de surface pour lavage des granulats après prise,</t>
  </si>
  <si>
    <t>-    la protection du chantier durant le temps de séchage,</t>
  </si>
  <si>
    <t>-    le lavage de la surface traitée avec protection des réseaux d’eaux pluviales,</t>
  </si>
  <si>
    <t>-    la fourniture et la mise en place d'un joint de dallage en PVC de type "Plastirègles Z70" tous les 25m² ou le sciage à la scie à eau,</t>
  </si>
  <si>
    <t>-    le nettoyage des abords après intervention.</t>
  </si>
  <si>
    <t xml:space="preserve">a)  Epaisseur de 12 cm : </t>
  </si>
  <si>
    <t>b)  Epaisseur de 20 cm :</t>
  </si>
  <si>
    <t>-    l’étaiement des terres et le dressement des parois</t>
  </si>
  <si>
    <t>-    le réglage et compactage du fond de fouille,</t>
  </si>
  <si>
    <t>-    la fourniture et la mise en œuvre des matériaux y compris la fourniture et pose d’armatures,</t>
  </si>
  <si>
    <t>-    le jointoiement au mortier dosé à 500 kg,</t>
  </si>
  <si>
    <t>-    la protection des abords du chantier,</t>
  </si>
  <si>
    <t xml:space="preserve">a)  Maçonnerie en meulière ou mœllons en grès : </t>
  </si>
  <si>
    <t xml:space="preserve">b)  Maçonnerie en parpaing de ciment standard : </t>
  </si>
  <si>
    <t>-    la fourniture du géotextile,</t>
  </si>
  <si>
    <t>-    le déroulage et la mise en œuvre, y compris les découpes,</t>
  </si>
  <si>
    <t>-    les raccordements par recouvrement tels que définis par le fournisseur,</t>
  </si>
  <si>
    <t>-    toutes les sujétions liées au chantier.</t>
  </si>
  <si>
    <t xml:space="preserve">a)  Type « BIDIM S61 » 250 g/m² ou similaire : </t>
  </si>
  <si>
    <t>b)  Type « BIDIM P30 » 300 g/m² ou similaire :</t>
  </si>
  <si>
    <t>-    la découpe des parties à conserver y compris de la bordure,</t>
  </si>
  <si>
    <t>-    l’exécution des fouilles nécessaires y compris sciage et démolition de chaussée ou trottoir,</t>
  </si>
  <si>
    <t>-    la fourniture d’un bec en fonte de profil T ou A,</t>
  </si>
  <si>
    <t>-    le scellement du bec au niveau de la bordure y compris le rejointoiement,</t>
  </si>
  <si>
    <t>-    le raccordement sur la canalisation existante ou posé,</t>
  </si>
  <si>
    <t>-    le découpage des enrobés existants,</t>
  </si>
  <si>
    <t>-    la réalisation d’engravures,</t>
  </si>
  <si>
    <t>-    le nettoyage du support,</t>
  </si>
  <si>
    <t>-    l’épandage d’une couche d’accrochage,</t>
  </si>
  <si>
    <t>-    la fourniture et la mise en œuvre d’un tapis spécial conformément au CCTP sur l’épaisseur prescrite par le maître d’œuvre,</t>
  </si>
  <si>
    <t>-    le cylindrage,</t>
  </si>
  <si>
    <t>-    la réalisation des joints d’émulsions,</t>
  </si>
  <si>
    <t>-    le balayage du refus pour les enduits superficiels,</t>
  </si>
  <si>
    <t>a)  Tapis en Béton Bitumineux Mince noir 0/10 d’épaisseur &lt; 4 cm :</t>
  </si>
  <si>
    <t>b)  Tapis«  acoustique » en Béton Bitumineux Très Mince noir 0/6 d’épaisseur &lt; 3 cm :</t>
  </si>
  <si>
    <t xml:space="preserve">c)  Enduit Monocouche 4/6 : </t>
  </si>
  <si>
    <t>d)  Enduit Bi couche : 6/10 :</t>
  </si>
  <si>
    <t>e)  Enrobé coulé à froid 0/6 :</t>
  </si>
  <si>
    <t>-    le piquage de joints abîmés,</t>
  </si>
  <si>
    <t>-    le rejointoiement à l’aide d’un mortier de ciment,</t>
  </si>
  <si>
    <t>-    le brossage et lissage des joints,</t>
  </si>
  <si>
    <t>-    les terrassements complémentaires en terrain de toute nature,</t>
  </si>
  <si>
    <t>-    le compactage du fond de forme,</t>
  </si>
  <si>
    <t>-    la mise en œuvre d’un sable ou calcaire silico-calcaire de granulométrie 0/6 mélangé à un liant de type hydraulique (ciment et/ou de la chaux dans des proportions à déterminer, environ 3 %) ou un mélanage utilsé par la ville de Paris (30% de sable silico-calcaire semi-concassé 3/8, 20% de sable calcaire concassé 0/5, 48% de sable de Seine, 2% de ciment),</t>
  </si>
  <si>
    <t>-    le compactage</t>
  </si>
  <si>
    <t>-    la mise en œuvre d’un stabilisé renforcé 0/6 type « ENVERR’PAQ » de chez ESPORTEC ou similaire,</t>
  </si>
  <si>
    <t>-    la fourniture et la pose d’un grillage avertisseur de couleur adaptée au réseau 30 cm au dessus de la génératrice supérieure des réseaux,</t>
  </si>
  <si>
    <t>-    le recouvrement intégral des réseaux posés.</t>
  </si>
  <si>
    <t>-    la fourniture et la mise en œuvre d’un béton dosé à 200 kg,</t>
  </si>
  <si>
    <t>-    la fourniture et la mise en œuvre du matériel,</t>
  </si>
  <si>
    <t>-    le transport, le déchargement et l’amenée à pied d’œuvre d’un matériau alvéolaire en nid d’abeilles à mailles hexagonales de 2 cm type « NIDAPLAST » en polypropylène de dimension 200 x 100 x 478 cm, d’une résistance à la compression verticale de 5 bars,</t>
  </si>
  <si>
    <t>-    le calpinage et le découpe si nécessaire des blocs,</t>
  </si>
  <si>
    <t>-    le réglage et la mise en œuvre des matériaux,</t>
  </si>
  <si>
    <t>-    le transport, le déchargement et l’amenée à pied d’œuvre d’un coussin lyonnais de dimension 300 cm x 195 cm x 17 cm en béton de chez SOPROCI ou similaire conforme aux recommandations du CERTU,</t>
  </si>
  <si>
    <t>-    la découpe à la scie de l’enrobé ainsi que de la structure de chaussée,</t>
  </si>
  <si>
    <t>-    le décroutage de l’enrobé,</t>
  </si>
  <si>
    <t>-    le terrassement de la structure de chaussée existante,</t>
  </si>
  <si>
    <t>-    le compactage du fond de fouille,</t>
  </si>
  <si>
    <t>-    la fourniture et la mise en œuvre de grave ciment dosée à 4% sur une épaisseur de minimale 20 cm,</t>
  </si>
  <si>
    <t>-    la pose et le calage du coussin conformément aux prescriptions du fabriquant y compris toutes sujétions,</t>
  </si>
  <si>
    <t>-    la fourniture et la mise en œuvre de béton bitumineux noir 0/6 à la main y compris fermeture des joints à l’émulsion de bitume,</t>
  </si>
  <si>
    <t>-    le transport, le déchargement et l’amenée à pied d’œuvre d’un coussin lyonnais de dimension 300 cm x 180 cm x 6 cm caoutchouc vulcanisé avec armatures métalliques de chez SODILOR ou similaire conforme au recommandations du CERTU,</t>
  </si>
  <si>
    <t>-    le nettoyage et la préparation des surfaces,</t>
  </si>
  <si>
    <t>-    l’implantation et le prémarquage,</t>
  </si>
  <si>
    <t>-    la pose du coussin à l’aide de chevilles plastiques et de tire fond y compris toutes sujétions,</t>
  </si>
  <si>
    <t>-    la dépose des éléments constitutifs de l’abri (partie métallique et verre),</t>
  </si>
  <si>
    <t>-    le transport et le stockage éventuel des éléments de l’abri au lieu défini par le maître d’oeuvre,</t>
  </si>
  <si>
    <t>-    la démolition des scellements d’ancrage,</t>
  </si>
  <si>
    <t>-    l’évacuation des déblais et éventuellement des éléments de l’abri y compris les droits de décharge,</t>
  </si>
  <si>
    <t>-    le remblaiement des fouilles y compris la fourniture des matériaux,</t>
  </si>
  <si>
    <t>-    les réfections de sol y compris la fourniture des matériaux,</t>
  </si>
  <si>
    <t>-    le transport, le déchargement et l’amenée à pied d’œuvre de l’abri fourni par le maître d’ouvrage,</t>
  </si>
  <si>
    <t>-    le terrassement pour la réalisation des massifs d’ancrage,</t>
  </si>
  <si>
    <t>-    l’évacuation des déblais y compris les droits de décharge,</t>
  </si>
  <si>
    <t>-    la réalisation des massifs d’ancrage y compris la fourniture des matériaux,</t>
  </si>
  <si>
    <t>-    la pose de l’abri conformément aux prescriptions du forunisseur y compris toutes sujétions,</t>
  </si>
  <si>
    <t>-    l’amenée et le repli du matériel,</t>
  </si>
  <si>
    <t>-    la fourniture et la mise en œuvre des produits nécessaires,</t>
  </si>
  <si>
    <t xml:space="preserve">a)  Effacement par mise en œuvre de peinture noire : </t>
  </si>
  <si>
    <t>b)  Effacement par brûlage :</t>
  </si>
  <si>
    <t xml:space="preserve">c)  Effacement par grenaillage : </t>
  </si>
  <si>
    <t xml:space="preserve">d)  Effacement par mise en œuvre de peinture noire : </t>
  </si>
  <si>
    <t xml:space="preserve">e)  Effacement par brûlage : </t>
  </si>
  <si>
    <t xml:space="preserve">f)   Effacement par rabotage : </t>
  </si>
  <si>
    <t>-    le nettoyage et la préparation des surfaces à revêtir,</t>
  </si>
  <si>
    <t>-    le prémarquage,</t>
  </si>
  <si>
    <t>-    la fourniture de peintures ou produits de marquage homologués,</t>
  </si>
  <si>
    <t>-    la mise en œuvre conformément aux prescriptions du maître d’oeuvre et à la réglementation en vigueur,</t>
  </si>
  <si>
    <t xml:space="preserve">a)  ligne continue de largeur 0,12 m : </t>
  </si>
  <si>
    <t xml:space="preserve">b)  ligne continue de largeur 0,15 m : </t>
  </si>
  <si>
    <t xml:space="preserve">c)  ligne discontinue de type T1 : </t>
  </si>
  <si>
    <t>d)  ligne discontinue de type T’1 :</t>
  </si>
  <si>
    <t xml:space="preserve">e)  ligne discontinue de type T2 : </t>
  </si>
  <si>
    <t xml:space="preserve">f)   ligne discontinue de type T’2 : </t>
  </si>
  <si>
    <t xml:space="preserve">g)  ligne discontinue de type T3 : </t>
  </si>
  <si>
    <t xml:space="preserve">h)  ligne discontinue de type T’3 : </t>
  </si>
  <si>
    <t xml:space="preserve">i)   ligne continue de largeur 0,12 m : </t>
  </si>
  <si>
    <t xml:space="preserve">j)   ligne continue de largeur 0,15 m : </t>
  </si>
  <si>
    <t xml:space="preserve">k)  ligne discontinue de type T1 : </t>
  </si>
  <si>
    <t xml:space="preserve">l)   ligne discontinue de type T’1 : </t>
  </si>
  <si>
    <t xml:space="preserve">m)  ligne discontinue de type T2 : </t>
  </si>
  <si>
    <t xml:space="preserve">n)  ligne discontinue de type T’2 : </t>
  </si>
  <si>
    <t xml:space="preserve">o)  ligne discontinue de type T3 : </t>
  </si>
  <si>
    <t xml:space="preserve">p)  ligne discontinue de type T’3 : </t>
  </si>
  <si>
    <t xml:space="preserve">q)  ligne continue de largeur 0,12 m : </t>
  </si>
  <si>
    <t xml:space="preserve">r)    ligne continue de largeur 0,15 m : </t>
  </si>
  <si>
    <t xml:space="preserve">s)  ligne discontinue de type T1 : </t>
  </si>
  <si>
    <t xml:space="preserve">t)   ligne discontinue de type T’1 : </t>
  </si>
  <si>
    <t>u)  ligne discontinue de type T2 :</t>
  </si>
  <si>
    <t>v)    ligne discontinue de type T’2 :</t>
  </si>
  <si>
    <t xml:space="preserve">w)   ligne discontinue de type T3 : </t>
  </si>
  <si>
    <t xml:space="preserve">x)    ligne discontinue de type T’3 : </t>
  </si>
  <si>
    <t xml:space="preserve">a)  ligne continue de largeur 0,10 m : </t>
  </si>
  <si>
    <t xml:space="preserve">b)  ligne discontinue type T’2 de largeur 0,10 m : </t>
  </si>
  <si>
    <t xml:space="preserve">c)  Mot « PAYANT » en lettres positives ou négatives de hauteur 150 mm : </t>
  </si>
  <si>
    <t xml:space="preserve">d)  Mot « TAXI » en lettres positives ou négatives de hauteur 150 mm : </t>
  </si>
  <si>
    <t>e)  ligne continue de largeur 0,10 m :</t>
  </si>
  <si>
    <t xml:space="preserve">f)   ligne discontinue type T’2 de largeur 0,10 m : </t>
  </si>
  <si>
    <t>g)  Mot « PAYANT » en lettres positives ou négatives de hauteur 150 mm :</t>
  </si>
  <si>
    <t>h)  Mot « TAXI » en lettres positives ou négatives de hauteur 150 mm :</t>
  </si>
  <si>
    <t xml:space="preserve">i)   ligne continue de largeur 0,10 m : </t>
  </si>
  <si>
    <t xml:space="preserve">j)   ligne discontinue type T’2 de largeur 0,10 m : </t>
  </si>
  <si>
    <t xml:space="preserve">k)  Mot « PAYANT » en lettres positives ou négatives de hauteur 150 mm : </t>
  </si>
  <si>
    <t>l)   Mot « TAXI » en lettres positives ou négatives de hauteur 150 mm :</t>
  </si>
  <si>
    <t>a)  Flèche mono directionnelle :</t>
  </si>
  <si>
    <t>b)  Flèche bi directionnelle :</t>
  </si>
  <si>
    <t xml:space="preserve">c)  Flèche de rabattement : </t>
  </si>
  <si>
    <t xml:space="preserve">d)  Flèche mono directionnelle : </t>
  </si>
  <si>
    <t>e)  Flèche bi directionnelle :</t>
  </si>
  <si>
    <t xml:space="preserve">f)   Flèche de rabattement : </t>
  </si>
  <si>
    <t xml:space="preserve">g)  Flèche mono directionnelle : </t>
  </si>
  <si>
    <t>h)  Flèche bi directionnelle :</t>
  </si>
  <si>
    <t xml:space="preserve">i)   Flèche de rabattement : </t>
  </si>
  <si>
    <t xml:space="preserve">a)  Passage piéton : </t>
  </si>
  <si>
    <t xml:space="preserve">b)  CEDEZ LE PASSAGE : </t>
  </si>
  <si>
    <t xml:space="preserve">c)  STOP : </t>
  </si>
  <si>
    <t xml:space="preserve">d)  Zébra : </t>
  </si>
  <si>
    <t xml:space="preserve">e)  Passage piéton : </t>
  </si>
  <si>
    <t xml:space="preserve">f)   CEDEZ LE PASSAGE : </t>
  </si>
  <si>
    <t xml:space="preserve">g)  STOP : </t>
  </si>
  <si>
    <t xml:space="preserve">h)  Zébra : </t>
  </si>
  <si>
    <t xml:space="preserve">i)   Passage piéton : </t>
  </si>
  <si>
    <t>j)   CEDEZ LE PASSAGE :</t>
  </si>
  <si>
    <t xml:space="preserve">k)  STOP : </t>
  </si>
  <si>
    <t xml:space="preserve">l)   Zébra : </t>
  </si>
  <si>
    <t xml:space="preserve">a)  A la peinture jaune : </t>
  </si>
  <si>
    <t xml:space="preserve">b)  A la résine à froid Jaune : </t>
  </si>
  <si>
    <t xml:space="preserve">c)  A la résine thermoplastique Jaune : </t>
  </si>
  <si>
    <t>a)  Pictogramme pour personne handicapée (L)1000 mm x (h)1200 mm :</t>
  </si>
  <si>
    <t>b)  Pictogramme pour personne handicapée (L)250 mm x (h)300 mm :</t>
  </si>
  <si>
    <t xml:space="preserve">c)  Pictogramme « Vélo » (L)800 mm x (h)1300 mm : </t>
  </si>
  <si>
    <t xml:space="preserve">d)  Figurine « Véhicule électrique » (L)1200 mm x (h)600 mm : </t>
  </si>
  <si>
    <t>e)  Figurine « Véhicule électrique » (L)600 mm x (h)300 mm :</t>
  </si>
  <si>
    <t xml:space="preserve">f)   Figurine « Piéton » (L)800 mm x (h)1300 mm : </t>
  </si>
  <si>
    <t xml:space="preserve">g)  Figurine « Piéton » (L)400 mm x (h)700 mm : </t>
  </si>
  <si>
    <t>h)  Pictogramme pour personne handicapée (L)1000 mm x (h)1200 mm :</t>
  </si>
  <si>
    <t xml:space="preserve">i)   Pictogramme pour personne handicapée (L)250 mm x (h)300 mm : </t>
  </si>
  <si>
    <t xml:space="preserve">j)   Pictogramme « Vélo » (L)800 mm x (h)1300 mm : </t>
  </si>
  <si>
    <t xml:space="preserve">k)  Figurine « Véhicule électrique » (L)1200 mm x (h)600 mm : </t>
  </si>
  <si>
    <t xml:space="preserve">l)   Figurine « Véhicule électrique » (L)600 mm x (h)300 mm : </t>
  </si>
  <si>
    <t xml:space="preserve">m)  Figurine « Piéton » (L)800 mm x (h)1300 mm : </t>
  </si>
  <si>
    <t xml:space="preserve">n)  Figurine « Piéton » (L)400 mm x (h)700 mm : </t>
  </si>
  <si>
    <t xml:space="preserve">o)  Pictogramme pour personne handicapée (L)1000 mm x (h)1200 mm : </t>
  </si>
  <si>
    <t xml:space="preserve">p)  Pictogramme pour personne handicapée (L)250 mm x (h)300 mm : </t>
  </si>
  <si>
    <t xml:space="preserve">q)  Pictogramme « Vélo » (L)800 mm x (h)1300 mm : </t>
  </si>
  <si>
    <t xml:space="preserve">r)    Figurine « Véhicule électrique » (L)1200 mm x (h)600 mm : </t>
  </si>
  <si>
    <t xml:space="preserve">s)  Figurine « Véhicule électrique » (L)600 mm x (h)300 mm : </t>
  </si>
  <si>
    <t xml:space="preserve">t)   Figurine « Piéton » (L)800 mm x (h)1300 mm : </t>
  </si>
  <si>
    <t xml:space="preserve">u)  Figurine « Piéton » (L)400 mm x (h)700 mm : </t>
  </si>
  <si>
    <t xml:space="preserve">v)    Pictogramme pour personne handicapée (L)1000 mm x (h)1200 mm : </t>
  </si>
  <si>
    <t xml:space="preserve">w)   Pictogramme pour personne handicapée (L)250 mm x (h)300 mm : </t>
  </si>
  <si>
    <t xml:space="preserve">x)    Pictogramme « Vélo » (L)800 mm x (h)1300 mm : </t>
  </si>
  <si>
    <t xml:space="preserve">y)    Figurine « Véhicule électrique » (L)1200 mm x (h)600 mm : </t>
  </si>
  <si>
    <t xml:space="preserve">z)    Figurine « Véhicule électrique » (L)600 mm x (h)300 mm : </t>
  </si>
  <si>
    <t xml:space="preserve">a)  « BUS » en lettres de hauteur 1500 mm : </t>
  </si>
  <si>
    <t xml:space="preserve">b)  « LIVRAISON » en lettres de hauteur 150 mm : </t>
  </si>
  <si>
    <t>c)  « POLICE » en lettres de hauteur 150 mm :</t>
  </si>
  <si>
    <t xml:space="preserve">d)  « AUTOCARS » en lettres de hauteur 300 mm : </t>
  </si>
  <si>
    <t xml:space="preserve">e)  lettres ou chiffres divers de hauteur 300 mm : </t>
  </si>
  <si>
    <t xml:space="preserve">f)   lettres ou chiffres divers de hauteur 1500 mm : </t>
  </si>
  <si>
    <t xml:space="preserve">a)  3 triangles de (L)700mm x (h)2000mm : </t>
  </si>
  <si>
    <t>b)  3 triangles de (L)500mm x (h)500mm :</t>
  </si>
  <si>
    <t xml:space="preserve">c)  3 triangles de (L)700mm x (h)2000mm : </t>
  </si>
  <si>
    <t xml:space="preserve">d)  3 triangles de (L)500mm x (h)500mm : </t>
  </si>
  <si>
    <t xml:space="preserve">e)  3 triangles de (L)700mm x (h)2000mm : </t>
  </si>
  <si>
    <t xml:space="preserve">f)   3 triangles de (L)500mm x (h)500mm : </t>
  </si>
  <si>
    <t>-    l’arrachage des matériaux,</t>
  </si>
  <si>
    <t>-    le nettoyage et la préparation des surfaces à traiter,</t>
  </si>
  <si>
    <t>-    la mise en place par l'entrepreneur d’une signalisation temporaire conformément aux prescriptions du maître d’œuvre,</t>
  </si>
  <si>
    <t>-    la fourniture , la mise en place, la surveillance, l’entretien et la dépose des panneaux et autres dispositifs de signalisation ( GBA plastiques lestés , barrières de police etc. … )destinés à assurer la sécurité du chantier, des riverains et des usagers,</t>
  </si>
  <si>
    <t>-    le balisage lumineux mais exclut les feux tricolores l'amenée et le repliement des matériels nécessaires aux travaux,</t>
  </si>
  <si>
    <t>-    Mesures non limitées dans la durée</t>
  </si>
  <si>
    <t>-    le prémarquage, le nettoyage et la préparation des surfaces à revêtir,</t>
  </si>
  <si>
    <t>-    la fourniture de peinture de marquage jaune homologuée,</t>
  </si>
  <si>
    <t>-    la mise en œuvre conformément aux plans et à la réglementation en vigueur et l’éffaçage en fin de chantier.</t>
  </si>
  <si>
    <t>-    un constat d’état des lieux avant le début des travaux des propriétés et bâtiments riverains par un huissier agrée par le maître d’œuvre,</t>
  </si>
  <si>
    <t>-    la réalisation d’un procès verbal de ces constats,</t>
  </si>
  <si>
    <t>-    la fourniture du procès verbal avec photographies en 3 exemplaires au maître d’œuvre.</t>
  </si>
  <si>
    <t>-    la réalisation d’un plan de retrait ou de confinement selon les dispositions du décret N°96-98 du 7 février 1996,</t>
  </si>
  <si>
    <t>-    l’envoi aux organismes nécessaire,</t>
  </si>
  <si>
    <t>-    la fourniture d’un exemplaire au maître d’œuvre.</t>
  </si>
  <si>
    <t>-    la fourniture, la pose, l’entretien et le déplacement éventuel pour raisons de chantier, d’un panneau d’information aux usagers de dimension 2,00 x 3,00,</t>
  </si>
  <si>
    <t>-    le texte sera donné par le maître d’œuvre avant le début des travaux,</t>
  </si>
  <si>
    <t>-    sa dépose à l'issue des travaux,</t>
  </si>
  <si>
    <t>-    la remise en état des terrains à la fin du chantier.</t>
  </si>
  <si>
    <t>-    l’amenée du dépôt du maître d’ouvrage, la pose, l’entretien et le déplacement éventuel pour raisons de chantier, d’un panneau d’information aux usagers fourni par le maître d’ouvrage,</t>
  </si>
  <si>
    <t>-    son repli en fin de chantier au dépôt du maître d’ouvrage,</t>
  </si>
  <si>
    <t>-    le transport à pied d’œuvre,</t>
  </si>
  <si>
    <t>-    le personnel et chauffeur nécessaire à son bon fonctionnement,</t>
  </si>
  <si>
    <t>-    les frais, les équipements (notamment tuyaux, raccords) et les énergies nécessaire à leurs utilisations,</t>
  </si>
  <si>
    <t>-    le repliement.</t>
  </si>
  <si>
    <t>a)  pour une circulation alternée, 2 unités :</t>
  </si>
  <si>
    <t>b)  Platelage de dimensions 2,50m X 1,00m compris amenée platelage, enlèvement et nettoyage :</t>
  </si>
  <si>
    <t>c)  puissance = 50 cv. :</t>
  </si>
  <si>
    <t>d)  de 3cv :</t>
  </si>
  <si>
    <t>e)  de 8cv :</t>
  </si>
  <si>
    <t>f)   dédit 50 m3/h :</t>
  </si>
  <si>
    <t>g)  débit 100 m3/h :</t>
  </si>
  <si>
    <t>h)  contenance minimale de 3000 litres avec motopompte :</t>
  </si>
  <si>
    <t>i)   Jusqu’à 10 m - capacité 1 personne :</t>
  </si>
  <si>
    <t>j)   godet = 450 l. :</t>
  </si>
  <si>
    <t>k)  godet &gt; 450 l. &lt; 800 l. :</t>
  </si>
  <si>
    <t>l)   brise-roche hydraulique d’un poids de 0,55 T. :</t>
  </si>
  <si>
    <t>m)  chargeur compact godet = 300l. :</t>
  </si>
  <si>
    <t>n)  godet = 800 l. :</t>
  </si>
  <si>
    <t>o)  = 5 T. de charges utiles :</t>
  </si>
  <si>
    <t>p)  &gt; 5 T. = 10 T. de charges utiles :</t>
  </si>
  <si>
    <t>q)  &gt; 10 T. de charges utiles :</t>
  </si>
  <si>
    <t>r)    hydraupelle :</t>
  </si>
  <si>
    <t>s)  Largeur = 1,00 mètre :</t>
  </si>
  <si>
    <t>t)   Largeur &gt; 1,00 mètre et = 2,50 mètres :</t>
  </si>
  <si>
    <t>u)  aspiratrice capacité minimale 2000l. avec balais et buses d’arrosage :</t>
  </si>
  <si>
    <t>v)    Point à temps pour la réalisation d’emplois partiels à l’émulsion, y compris la fourniture et mise en œuvre de gravillons prophyres :</t>
  </si>
  <si>
    <t>-    le transport aller retour,</t>
  </si>
  <si>
    <t>-    les frais, les équipements et les outils,</t>
  </si>
  <si>
    <t xml:space="preserve">a)  Chef d’équipe, y compris son véhicule : </t>
  </si>
  <si>
    <t>b)  Compagnon professionnel, sans véhicule :</t>
  </si>
  <si>
    <t>c)  Ouvrier qualifié, sans véhicule :</t>
  </si>
  <si>
    <t>d)  Ouvrier professionnel, sans véhicule :</t>
  </si>
  <si>
    <t>-    le déchargement et le stockage sur le chantier,</t>
  </si>
  <si>
    <t>-    le repliement de l’excédant,</t>
  </si>
  <si>
    <t>-    le nettoyage de la zone de stockage.</t>
  </si>
  <si>
    <t>a)  Pavés mosaïque en granit 8/10,10 /10,12 /12,14 /14 neufs 1ère catégorie :</t>
  </si>
  <si>
    <t>b)  Pavés mosaïque en granit 8/10,10/10,12/12/14/14 de réemploi :</t>
  </si>
  <si>
    <t>c)  Pavés grès calibrés 15/15 ou 20/20 :</t>
  </si>
  <si>
    <t xml:space="preserve">d)  Briques “Pacema” ép. 6 cm : </t>
  </si>
  <si>
    <t>e)  Pavés en terre cuite “Bockleys” ép. 8cm - tous coloris, format 200 X 100 :</t>
  </si>
  <si>
    <t>f)   Dalles granit ép. 4 cm - Toutes dimensions :</t>
  </si>
  <si>
    <t>g)  Pavés Calda - Toutes dimensions et tous coloris :</t>
  </si>
  <si>
    <t>h)  Dalles gravillons lavés - Toutes dimensions et tous coloris :</t>
  </si>
  <si>
    <t>i)   Dalles granit Louvigne granit ép. 5 cm , largeur 14 cm- Longueur libre:</t>
  </si>
  <si>
    <t>j)   Dalles Listel granit Lanhelin finition adoucie 10x12x100 cm. ép 5 cm  :</t>
  </si>
  <si>
    <t>k)  Dalles granit Louvigne entrée Charretière ép. 8 cm – L 100 cm. l 14 cm  :</t>
  </si>
  <si>
    <t>l)   Dalles Béton ép. 8 cm – 50 x50 cm .Formule monolithique Venise couleur pierre finition bouchardée y compris arête:</t>
  </si>
  <si>
    <t>-    le transport, le déchargement,</t>
  </si>
  <si>
    <t>-    le stockage sur le chantier,</t>
  </si>
  <si>
    <t>-    L’amenée à pied d’œuvre,</t>
  </si>
  <si>
    <t>-    le repliement éventuel de l’excédant,</t>
  </si>
  <si>
    <t>a)  Bordurette préfabriquée Type P1, P2, P3 et P3 arasée :</t>
  </si>
  <si>
    <t>b)  Bordure préfabriquée Type T1 :</t>
  </si>
  <si>
    <t>c)  Bordure préfabriquée Type T2 :</t>
  </si>
  <si>
    <t>d)  Bordure préfabriquée Type T3 :</t>
  </si>
  <si>
    <t>e)  Caniveau préfabriquée Type CS1 :</t>
  </si>
  <si>
    <t>f)   Caniveau préfabriquée Type CS2 :</t>
  </si>
  <si>
    <t>g)  Caniveau préfabriquée Type CC1 :</t>
  </si>
  <si>
    <t>h)  Caniveau préfabriquée Type CC2 :</t>
  </si>
  <si>
    <t>i)   Bordure préfabriquée Type A1 :</t>
  </si>
  <si>
    <t>j)   Bordure préfabriquée Type A2 :</t>
  </si>
  <si>
    <t>k)  Bordure préfabriquée Type raccord A/T :</t>
  </si>
  <si>
    <t xml:space="preserve">a)  Bordure grès de profils usuels (15x25) : </t>
  </si>
  <si>
    <t>b)  Eléments pour ilôts directionnels type I1 (h= 13 cm) en béton blanc ou lumisilice, Eléments droits, concaves ou convexes :</t>
  </si>
  <si>
    <t>c)  Eléments pour ilôts directionnels type I2 (h= 18 cm) en béton blanc ou lumisilice, Eléments droits, concaves ou convexes :</t>
  </si>
  <si>
    <t>d)  Bordures Chasses roues Type BPDE en béton lavé :</t>
  </si>
  <si>
    <t>e)  Bordure de défense préfabriquée en béton pleine masse classe 100 + R (h=42 cm) :</t>
  </si>
  <si>
    <t>f)   Bordure double Granit bleu Breton ou G 655 face supérieure flammée, élément courbe et droit y compris façon arrondi :</t>
  </si>
  <si>
    <t>-    l’amenée à pied d’œuvre,</t>
  </si>
  <si>
    <t xml:space="preserve">a)  Sable de rivière 0/5 : </t>
  </si>
  <si>
    <t>b)  Graviers et cailloux de rivière 20/40:</t>
  </si>
  <si>
    <t>c)  Grave naturelle semi concassée 0/31,5 :</t>
  </si>
  <si>
    <t>d)  Grave de béton concassée :</t>
  </si>
  <si>
    <t>e)  Grave ciment 0/20 à 3% de ciment :</t>
  </si>
  <si>
    <t>f)   Grave laitier à 20% de laitier granulé :</t>
  </si>
  <si>
    <t>g)  Remblais de bonne qualité :</t>
  </si>
  <si>
    <t>h)  Mâchefer de haut fourneau criblé, déferraillé :</t>
  </si>
  <si>
    <t>i)   Terre végétale agréée par le maître d’œuvre :</t>
  </si>
  <si>
    <t>-    le nettoyage du chantier.</t>
  </si>
  <si>
    <t xml:space="preserve">a)  Béton bitumineux porphyre noir 0/6 : </t>
  </si>
  <si>
    <t xml:space="preserve">b)  Béton bitumineux acoustique noir 0/6 : </t>
  </si>
  <si>
    <t xml:space="preserve">c)  Béton bitumineux porphyre noir 0/10 : </t>
  </si>
  <si>
    <t xml:space="preserve">d)  Béton bitumineux acoustique noir 0/10 : </t>
  </si>
  <si>
    <t xml:space="preserve">e)  Béton Bitumineux à Module Elevé (BBME) noir 0/10 : </t>
  </si>
  <si>
    <t xml:space="preserve">f)   Béton bitumineux porphyre rouge 0/6 : </t>
  </si>
  <si>
    <t xml:space="preserve">g)  Enrobés à Module Elevé (EME) 0/10 : </t>
  </si>
  <si>
    <t xml:space="preserve">h)  Grave bitume 0/20 dosée à 4 % de bitume pur : </t>
  </si>
  <si>
    <t xml:space="preserve">i)   Grave bitume 0/14 classe 2 NF98138 (11%vide): </t>
  </si>
  <si>
    <t>j)   Enrobés à froid noir 0/6 :</t>
  </si>
  <si>
    <t>-    le stockage éventuel sur le chantier après accord du maître d’oeuvre,</t>
  </si>
  <si>
    <t>-    le nettoyage de la zone de stockage</t>
  </si>
  <si>
    <t>a)  Béton de propreté P ou L dosé à 150Kg/m3 :</t>
  </si>
  <si>
    <t xml:space="preserve">b)  Béton pour béton armé CPA 45 dosé à 200Kg/m3 : </t>
  </si>
  <si>
    <t>d)  Acier doux avec façonnage :</t>
  </si>
  <si>
    <t>e)  Acier haute adhérence avec façonnage :</t>
  </si>
  <si>
    <t>-    la fourniture de canalisation circulaires en béton armé de série 135A à libre écoulement suivant les instructions du CCTG,</t>
  </si>
  <si>
    <t>-    la fourniture aux différentes configurations et raccordements,</t>
  </si>
  <si>
    <t>-    le nettoyage de la zone de stockage,</t>
  </si>
  <si>
    <t xml:space="preserve">a)  DN 300 mm : </t>
  </si>
  <si>
    <t>b)  DN 400 mm :</t>
  </si>
  <si>
    <t>c)  DN 500 mm :</t>
  </si>
  <si>
    <t>d)  DN 600 mm :</t>
  </si>
  <si>
    <t>e)  DN 800 mm :</t>
  </si>
  <si>
    <t>f)   DN 1000 mm :</t>
  </si>
  <si>
    <t>-    la fourniture de canalisation circulaires en fonte ductile type « INTEGRAL » de chez PAM ou similaire pour réseaux d’assainissement d’eaux usées gravitaires ou en refoulement à libre écoulement suivant les instructions du CCTG,</t>
  </si>
  <si>
    <t>-    la fourniture aux différentes configurations et raccordements y compris culottes de branchement et coudes,</t>
  </si>
  <si>
    <t>a)  DN 150 mm :</t>
  </si>
  <si>
    <t>b)  DN 200 mm :</t>
  </si>
  <si>
    <t xml:space="preserve">c)  DN 250 mm : </t>
  </si>
  <si>
    <t xml:space="preserve">d)  DN 300 mm : </t>
  </si>
  <si>
    <t>e)  DN 400 mm :</t>
  </si>
  <si>
    <t xml:space="preserve">f)   DN 600 mm : </t>
  </si>
  <si>
    <t>-    la fourniture de canalisation circulaires en PVC bipeau CR8 pour réseaux d’assainissement à libre écoulement suivant les instructions du CCTG,</t>
  </si>
  <si>
    <t>c)  DN 250 mm :</t>
  </si>
  <si>
    <t>d)  DN 300 mm :</t>
  </si>
  <si>
    <t xml:space="preserve"> MISE EN ŒUVRE DE CANALISATIONS</t>
  </si>
  <si>
    <t xml:space="preserve">Mise en oeuvre de canalisations d’assainissement en tranchée ouverte y compris toutes suggestions de mise en œuvre </t>
  </si>
  <si>
    <t>Ce prix rémunère au mètre linéaire la mise en œuvre de canalisations d’assainissement en tranchée ouverte suivant les instructions du CCTG, comprenant :</t>
  </si>
  <si>
    <t>tuyaux d’assainissement en béton armé série 135 A :</t>
  </si>
  <si>
    <t>tuyaux d’assainissement en fonte ductile :</t>
  </si>
  <si>
    <t>tuyaux d’assainissement en PVC bipeau classe CR8 :</t>
  </si>
  <si>
    <t>Plus Value au mètre linéaire au prix N°65 pour pose sous platelage</t>
  </si>
  <si>
    <t xml:space="preserve">Mise en oeuvre de drains ou fourreaux en tranchée ouverte y compris toutes suggestions de mise en œuvre </t>
  </si>
  <si>
    <t>Ce prix rémunère au mètre linéaire la mise en œuvre de drains ou fourreaux en tranchée ouverte suivant les instructions du CCTG, comprenant :</t>
  </si>
  <si>
    <t>drains PVC :</t>
  </si>
  <si>
    <t>fourreaux PVC aiguillés :</t>
  </si>
  <si>
    <t>fourreaux TPC aiguillés :</t>
  </si>
  <si>
    <t>cablette de cuivre :</t>
  </si>
  <si>
    <t>Ce prix rémunère à l’unité la mise en œuvre d’accessoires de raccordement pour tuyaux en tranchée ouverte suivant les instructions du CCTG, comprenant :</t>
  </si>
  <si>
    <t>Tuyaux en PVC classe CR8 :</t>
  </si>
  <si>
    <t>Tuyaux en fonte ductile:</t>
  </si>
  <si>
    <t>Ce prix rémunère à l’unité la mise en œuvre de manchon de scellement en fonte en tranchée ouverte suivant les instructions du CCTG, comprenant :</t>
  </si>
  <si>
    <t xml:space="preserve">Mise en oeuvre de d’accessoires de raccordement divers en tranchée ouverte y compris toutes suggestions de mise en œuvre </t>
  </si>
  <si>
    <t>Ce prix rémunère à l’unité la mise en œuvre d’accessoires de raccordement divers en tranchée ouverte suivant les instructions du CCTG, comprenant :</t>
  </si>
  <si>
    <t xml:space="preserve">Mise en oeuvre de tampons en fonte ductile pour ouvrages y compris toutes suggestions de mise en œuvre </t>
  </si>
  <si>
    <t>Sous Trottoirs :</t>
  </si>
  <si>
    <t>Sous Chaussée :</t>
  </si>
  <si>
    <t>Avaloirs :</t>
  </si>
  <si>
    <t>Ce prix rémunère au mètre linéaire de regards posé suivant la profondeur la pose de regard de visite en béton armé vibré préfabriqué, comprenant :</t>
  </si>
  <si>
    <t>Plus Value à l’unité au prix N°72 pour la réalisation d’une chute accompagnée</t>
  </si>
  <si>
    <t>Ce prix rémunère au mètre carré le rabotage de revêtement de surface sur une épaisseur moyenne de 20 cm, comprenant :</t>
  </si>
  <si>
    <t>Ce prix rémunère au mètre carré par centimètre supplémentaire par rapport à l’épaisseur moyenne de 15 cm le rabotage de revêtement de surface.</t>
  </si>
  <si>
    <t>Ce prix rémunère au mètre carré par centimètre inférieur par rapport à l’épaisseur moyenne de 15cm, le rabotage de revêtement de surface</t>
  </si>
  <si>
    <t>Ce prix rémunère au mètre linéaire la réalisation d’une engravure sur chaussée sur une épaisseur moyenne de 20 cm, comprenant :</t>
  </si>
  <si>
    <t>Ce prix rémunère à l’unité la réalisation de marquage de flèches directionnelles ou de rabattement de hauteur 2,00 mètres maximum, comprenant :</t>
  </si>
  <si>
    <t>A la peinture Blanche ou Jaune :</t>
  </si>
  <si>
    <t>A la résine à froid Blanche :</t>
  </si>
  <si>
    <t>A la résine thermoplastique Blanche :</t>
  </si>
  <si>
    <t>Ce prix rémunère au mètre carré la réalisation de marquage de signalisations horizontales diverses, comprenant :</t>
  </si>
  <si>
    <t>Plus Value au mètre carré au prix N°99 pour la réalisation d’un fond coloré</t>
  </si>
  <si>
    <t>Ce prix rémunère au mètre linéaire la réalisation de marquage d’arrêt de bus de couleur jaune conforme aux recommandations du CERTU, comprenant :</t>
  </si>
  <si>
    <t xml:space="preserve">Marquage au sol de pictogramme ou figurine y compris toutes suggestions d'exécution </t>
  </si>
  <si>
    <t>Ce prix rémunère à l’unité la réalisation de marquage de pictogramme ou figurine, comprenant :</t>
  </si>
  <si>
    <t>A la peinture Blanche:</t>
  </si>
  <si>
    <t>En élément thermocollé :</t>
  </si>
  <si>
    <t>Ce prix rémunère à l’unité la réalisation de marquage de mots thermocollés en lettres positives ou négatives quelque soit la couleur, comprenant :</t>
  </si>
  <si>
    <t xml:space="preserve">Marquage au sol type « dents de requins » y compris toutes suggestions d'exécution </t>
  </si>
  <si>
    <t>Ce prix rémunère à l’unité la réalisation de marquage de type « dents de requins » signalant un ralentisseur , comprenant :</t>
  </si>
  <si>
    <t xml:space="preserve">Arrachage de dalles podoctactiles ou pavés podotactiles y compris toutes suggestions d'exécution </t>
  </si>
  <si>
    <t>Ce prix rémunère au mètre linéaire l’arrachage de dalles ou pavés podotactiles , comprenant :</t>
  </si>
  <si>
    <t>Ce prix rémunère à l’unité la fourniture et mise en œuvre de balises de signalisation de type J11 auto relevable de couleur verte, blanche ou jaune, comprenant :</t>
  </si>
  <si>
    <t>Ce prix rémunère la fourniture et mise en œuvre d’un revêtement synthétique de faible épaisseur avec aspect pavés naturels, comprenant :</t>
  </si>
  <si>
    <t>Ce prix rémunère la fourniture et mise en œuvre de plot réfléchissants ou lumineux, comprenant :</t>
  </si>
  <si>
    <t xml:space="preserve">Fourniture et mise en place de panneaux de police y compris toutes suggestions d'exécution </t>
  </si>
  <si>
    <t>OUVRAGES DIVERS</t>
  </si>
  <si>
    <t>Fourniture et pose de clôture chataignier hauteur 1,50m</t>
  </si>
  <si>
    <t>Fourniture et pose de cloture en plaque béton</t>
  </si>
  <si>
    <t>Fourniture et mise en œuvre de béton armé pour confection de semelles de fondations de murs de soutènement</t>
  </si>
  <si>
    <t>a) Enduit deux couches finement dressé et taloché</t>
  </si>
  <si>
    <t>Fourniture et pose de panneaux grillagés Type Nynoflor</t>
  </si>
  <si>
    <t>Tranchées en terrain sans revêtement</t>
  </si>
  <si>
    <t>Le mètre linéaire de tranchée réalisée</t>
  </si>
  <si>
    <t>Fouille en terrain de toutes natures.</t>
  </si>
  <si>
    <t>Fouille en terrain de classification 1.</t>
  </si>
  <si>
    <t>Fouille en terrain de classification 2.</t>
  </si>
  <si>
    <t>Fouille en terrain de classification 3.</t>
  </si>
  <si>
    <t>Saisir, ci-dessous, la date et le lieu</t>
  </si>
  <si>
    <t>à :</t>
  </si>
  <si>
    <t>le :</t>
  </si>
  <si>
    <t>d</t>
  </si>
  <si>
    <t>dn = diamètre nominal du branchement</t>
  </si>
  <si>
    <t>Fourniture d’accessoires de raccordement divers</t>
  </si>
  <si>
    <t>Fourniture de fourreaux PVC aiguillés</t>
  </si>
  <si>
    <t>Fourniture de fourreaux TPC aiguillés</t>
  </si>
  <si>
    <t>Fourniture de câble de terre cuivre nu</t>
  </si>
  <si>
    <t>Fourniture de tampons en fonte ductile pour ouvrages</t>
  </si>
  <si>
    <t>Tampon carré de trottoirs en fonte classe B 125 cadre rond ou carré type PAM ou similaire :</t>
  </si>
  <si>
    <t>Tampon carré de trottoirs circulés en fonte classe C 250 cadre rond ou carré type PAM ou similaire :</t>
  </si>
  <si>
    <t>Tampon rond de chaussée en fonte ventilé ou non classe D 400 cadre rond ou carré type PAM « PAMREX EXPLOITATION » ou similaire :</t>
  </si>
  <si>
    <t>Fourniture de grilles et avaloirs en fonte ductile pour ouvrages</t>
  </si>
  <si>
    <t>Grille carrée en fonte classe C 250 plate ou concave type PAM ou similaire :</t>
  </si>
  <si>
    <t>Grille carrée en fonte classe C 250 verrouillable par barreaux élastiques plate ou concave type PAM « SQUADRA »ou similaire :</t>
  </si>
  <si>
    <t>Grille ronde en fonte classe C 250 cadre rond ou carré type PAM « PAYSAGE »ou similaire :</t>
  </si>
  <si>
    <t>Avaloirs à barreaux sélecteurs en fonte classe C 250 verrouillable par barreaux élastiques type PAM « SELECTA 500 »ou similaire :</t>
  </si>
  <si>
    <t xml:space="preserve">Fourniture de regards de visite en béton préfabriqué </t>
  </si>
  <si>
    <t>Ce prix rémunère au mètre linéaire de regards posé :</t>
  </si>
  <si>
    <t xml:space="preserve">Fourniture de regards de branchement en béton préfabriqué </t>
  </si>
  <si>
    <t>Fourniture caniveaux à grille</t>
  </si>
  <si>
    <t>Avec Grille galvanisée :</t>
  </si>
  <si>
    <t>Avec Grille fonte ductile classe C250</t>
  </si>
  <si>
    <t xml:space="preserve"> MOBILIERS URBAINS</t>
  </si>
  <si>
    <t>Fourniture de potelets et bornes</t>
  </si>
  <si>
    <t>Fourniture de barrières</t>
  </si>
  <si>
    <t>Fourniture de corbeilles</t>
  </si>
  <si>
    <t xml:space="preserve"> MAIN D’OEUVRE</t>
  </si>
  <si>
    <t xml:space="preserve"> PREPARATION DU TERRAIN</t>
  </si>
  <si>
    <t xml:space="preserve">Débroussaillage y compris toutes suggestions d'exécution </t>
  </si>
  <si>
    <t xml:space="preserve">Découpe de matériaux y compris toutes suggestions d'exécution </t>
  </si>
  <si>
    <t>Ce prix rémunère au mètre linéaire le découpage soigné de matériaux enrobés en vue de l’exécution d’une reprise d’enrobés sur une épaisseur maximum de 0,10 mètre, comprenant :</t>
  </si>
  <si>
    <t xml:space="preserve">Démolition de corps de chaussée et trottoir y compris toutes suggestions d'exécution </t>
  </si>
  <si>
    <t>Ce prix rémunère au mètre cube l’exécution à la machine de démolition de corps de chaussée ou de trottoir, comprenant :</t>
  </si>
  <si>
    <t xml:space="preserve">Démolition de trottoir ( béton ou enrobé ) y compris toutes suggestions d'exécution </t>
  </si>
  <si>
    <t>Ce prix rémunère au mètre carré l’exécution à la machine de démolition de trottoir sur une épaisseur de 20 cm, comprenant :</t>
  </si>
  <si>
    <t xml:space="preserve">Terrassement en tranchée y compris toutes suggestions d'exécution </t>
  </si>
  <si>
    <t>Ce prix rémunère au mètre cube mesuré au vide de fouille l’exécution de terrassement en tranchée à la machine, comprenant :</t>
  </si>
  <si>
    <t>Plus value sur le prix N°39a; 39b; 39c pour travaux de terrassement en tranchée exécutés à la main :</t>
  </si>
  <si>
    <t>Plus value sur le prix N°38a; 38b; 38c pour travaux de terrassement en tranchée exécutés en roche dure avec utilisation de perforatrice quelque soit la profondeur :</t>
  </si>
  <si>
    <t>Plus value sur le prix N°39a; 39b; 39c pour travaux de terrassement en tranchée exécutés sous platelage :</t>
  </si>
  <si>
    <t xml:space="preserve">Démolition d’ouvrages y compris toutes suggestions d'exécution </t>
  </si>
  <si>
    <t>Ce prix rémunère la démolition d’ouvrages maçonnés ou de canalisation, comprenant :</t>
  </si>
  <si>
    <t>Au mètre cube mesuré contradictoirement avant démolition :</t>
  </si>
  <si>
    <t>Au mètre linéaire :</t>
  </si>
  <si>
    <t>Plus value sur les prix N°43 a) et b) pour récupération des moellons :</t>
  </si>
  <si>
    <t>Ce prix rémunère au mètre cube :</t>
  </si>
  <si>
    <t xml:space="preserve">Protection contre éboulement / Blindage y compris toutes suggestions d'exécution </t>
  </si>
  <si>
    <t>Ce prix rémunère la mise en place de protection des fouilles contre les éboulements, comprenant :</t>
  </si>
  <si>
    <t>A la journée :</t>
  </si>
  <si>
    <t>Au mètre carré :</t>
  </si>
  <si>
    <t>7.r</t>
  </si>
  <si>
    <t>7.q</t>
  </si>
  <si>
    <t xml:space="preserve"> M2</t>
  </si>
  <si>
    <t xml:space="preserve"> ML</t>
  </si>
  <si>
    <t xml:space="preserve"> T</t>
  </si>
  <si>
    <t xml:space="preserve"> M3</t>
  </si>
  <si>
    <t>Dépose avec soin de pavage en pavés de toute nature</t>
  </si>
  <si>
    <t>Le mètre carré déposé</t>
  </si>
  <si>
    <t>Tranchée en terrain après démolition du revêtement de surface</t>
  </si>
  <si>
    <t>Réfection définitive de dessus de tranchée dans espaces verts</t>
  </si>
  <si>
    <t>Réfection en espaces verts comprenant fourniture, amenée à pied d'oeuvre et mise en place de terre végétale.
Sur une épaisseur minimale de 0,25 m.
 Compris :
    * 1er ensemencement de graminées et apport d'engrais-roulage</t>
  </si>
  <si>
    <t>Regards et chambres de tirage</t>
  </si>
  <si>
    <t>Construction d'une chambre de tirage en béton coulé en place ou préfabriquée
Terrassement nécessaire en terrain de toutes natures.
Regard constitué par :
    * parois verticales en béton d'épaisseur minimale 0,15 m ;
    * couronnement sur le dessus pour recevoir tampon ;
    * fourreaux incorporés au coulage pour passage des câbles, en nombre voulu.
Mise en place dans le fond de gravier drainant sur une hauteur minimale de 0,20 m.
Remblaiement au pourtour et enlèvement des terres en excédent hors du chantier.
 Au préalable démolition du revêtement de sol existant y compris sa fondation, revêtement de toute nature et épaisseurs.
Après finition du regard, exécution des raccords de revêtement de sol après reconstitution de sa fondation.</t>
  </si>
  <si>
    <t>De dimensions intérieures :</t>
  </si>
  <si>
    <t>250 × 250 mm ;</t>
  </si>
  <si>
    <t>300 × 300 mm ;</t>
  </si>
  <si>
    <t>400 × 400 mm ;</t>
  </si>
  <si>
    <t>500 × 500 mm ;</t>
  </si>
  <si>
    <t>600 × 600 mm ;</t>
  </si>
  <si>
    <t>700 × 700 mm ;</t>
  </si>
  <si>
    <t>Regards et chambres de tirage réseau télécom</t>
  </si>
  <si>
    <t>Ce prix est rémunéré à l'unité l'unité posée</t>
  </si>
  <si>
    <t>chambre L0T avec dispositif de couverture125 kn</t>
  </si>
  <si>
    <t>chambre L1T avec dispositif de couverture125 kn</t>
  </si>
  <si>
    <t>chambre L2T avec dispositif de couverture125 kn</t>
  </si>
  <si>
    <t>chambre L3T avec dispositif de couverture125 kn</t>
  </si>
  <si>
    <t>chambre L4T avec dispositif de couverture125 kn</t>
  </si>
  <si>
    <t>chambre L0T avec dispositif de couverture 250 kn</t>
  </si>
  <si>
    <t>chambre L1T avec dispositif de couverture 250  kn</t>
  </si>
  <si>
    <t>chambre L2T avec dispositif de couverture 250 kn</t>
  </si>
  <si>
    <t>chambre L3T avec dispositif de couverture 250 kn</t>
  </si>
  <si>
    <t>chambre L4T avec dispositif de couverture 250 kn</t>
  </si>
  <si>
    <t>chambre K1C avec dispositif de couverture 400 kn</t>
  </si>
  <si>
    <t>chambre K2C avec dispositif de couverture 400 kn</t>
  </si>
  <si>
    <t>Tampons de regards en fonte</t>
  </si>
  <si>
    <t>Tampons de classe B 125</t>
  </si>
  <si>
    <t>Tampons de trottoirs à cadre carré et tampon rond :</t>
  </si>
  <si>
    <t># cadre 250 × 250 - ouverture D 150 ;</t>
  </si>
  <si>
    <t># cadre 300 × 300 - ouverture D 175 ;</t>
  </si>
  <si>
    <t># cadre 400 × 400 - ouverture D 250 ;</t>
  </si>
  <si>
    <t># cadre 500 × 500 - ouverture D 350 ;</t>
  </si>
  <si>
    <t># cadre 600 × 600 - ouverture D 425 ;</t>
  </si>
  <si>
    <t># cadre 700 × 700 - ouverture D 500 ;</t>
  </si>
  <si>
    <t>cadre 800 × 800 - ouverture D 610.</t>
  </si>
  <si>
    <t>Tampons hydrauliques carrés :</t>
  </si>
  <si>
    <t xml:space="preserve">    * cadre 250 × 250 - ouverture 188 × 188 ;</t>
  </si>
  <si>
    <t xml:space="preserve">    * cadre 300 × 300 - ouverture 233 × 233 ;</t>
  </si>
  <si>
    <t xml:space="preserve">    * cadre 415 × 415 - ouverture 329 × 329 ;</t>
  </si>
  <si>
    <t xml:space="preserve">    * cadre 520 × 520 - ouverture 404 × 404 ;</t>
  </si>
  <si>
    <t xml:space="preserve">    * cadre 600 × 600 - ouverture 500 × 500 ;</t>
  </si>
  <si>
    <t xml:space="preserve">    * cadre 700 × 700 - ouverture 601 × 601 ;</t>
  </si>
  <si>
    <t xml:space="preserve">    * cadre 830 × 830 - ouverture 700 × 700.</t>
  </si>
  <si>
    <t>Tampons extra-légers tout en acier galvanisé, carrés :</t>
  </si>
  <si>
    <t xml:space="preserve">    * dimensions : 400 ;</t>
  </si>
  <si>
    <t xml:space="preserve">    * dimensions : 600 ;</t>
  </si>
  <si>
    <t xml:space="preserve">    * dimensions : 700.</t>
  </si>
  <si>
    <t xml:space="preserve">Percement d’ouvrages y compris toutes suggestions de mise en œuvre </t>
  </si>
  <si>
    <t>Ce prix rémunère à l’unité la réalisation de percement pour le passage ou le raccordement de canalisation de canalisation, comprenant :</t>
  </si>
  <si>
    <t>MISE EN ŒUVRE DE MATERIAUX / CHAUSSEE</t>
  </si>
  <si>
    <t xml:space="preserve">Mise en oeuvre de pavages et dalles y compris toutes suggestions de mise en œuvre </t>
  </si>
  <si>
    <t>Après pose du câble ou du fourreau, remblaiement de la tranchée. compris la fourniture et la mise en oeuvre des matériaux d'apport
Remblaiement en sable ou en autre matériau fin d'apport sur une hauteur jusqu'à 0,25 m au-dessus de la génératrice supérieure du câble ou du fourreau.
Au-dessus, remblaiement jusqu'au niveau sous le revêtement de surface avec les terres en provenance de la fouille, ou si la nature de la terre n'est pas apte au remblai, en matériau d'apport à fournir et à amener par l'entrepreneur.
Fourniture et mise en place de grillage avertisseur en plastique de couleur rouge :
    * de 0,30 m de largeur minimale, à poser à 0,30 m au-dessus de la génératrice supérieure du câble ou du fourreau.
Le remblai sera arasé au niveau voulu en fonction de la finition du terrain en surface.
Ce remblai sera mis en place par couches successives de 0,20 m d'épaisseur arrosées et compactées l'une après l'autre afin que la densité en place soit au moins égale à 95 % de la valeur optimale déterminée à l'e</t>
  </si>
  <si>
    <t>Démolition de la couche d'enrobés à froid de la réfection provisoire.
Chargement et enlèvement des gravois hors du chantier.
Nettoyage du support et apport de matériaux neufs pour rattrapage du tassement et compactage.
Recoupement soigné à la scie du revêtement existant sur les 2 côtés de la tranchée à une distance minimale de 0,10 m de la limite extérieure des dégradations, pour obtenir des joints rectilignes et parallèles.
Mise en place de la couche définitive de revêtement et compactage soigné.
La finition devra être strictement, après compactage, au niveau du revêtement existant.
Balayage et nettoyage final.
Réfection définitive en enrobés à chaud (ou bi-couche) :
    * nature et type d'enrobés : identiques à ceux du revêtement existant et de même granulométrie, ou en cas d'impossibilité, enrobés de nature et type approchant ;
    * teinte : noir ou teinté dito existant ;
    * épaisseur : au minimum égale à l'épaisseur de l'existant.</t>
  </si>
  <si>
    <t>Ce prix rémunère à l’unité la plus value au prix N° 72 pour la réalisation d’une chute accompagnée de diamètre inférieur à 250 mm, comprenant :</t>
  </si>
  <si>
    <t>Ce prix rémunère au mètre linéaire de regards posé suivant la profondeur ,la pose de regard de visite en béton armé vibré préfabriqué, comprenant :</t>
  </si>
  <si>
    <t xml:space="preserve">Construction de bouches d’égouts à grille ou d’avaloirs y compris toutes suggestions de mise en œuvre </t>
  </si>
  <si>
    <t>Ce prix rémunère au mètre linéaire mesuré suivant sa profondeur, la réalisation de bouche d’égouts à grille ou d’avaloirs, comprenant :</t>
  </si>
  <si>
    <t xml:space="preserve">le scellement et la pose d’une grille ou d’un avaloir </t>
  </si>
  <si>
    <t xml:space="preserve">Mise en oeuvre de caniveaux à grille y compris toutes suggestions de mise en œuvre </t>
  </si>
  <si>
    <t>Ce prix rémunère au mètre linéaire, la mise en œuvre de caniveaux à grille avec pente en béton armé préfabriqués équipés de systèmes antivol type acodrain ou similaire :</t>
  </si>
  <si>
    <t>MISE EN ŒUVRE DE MOBILIERS URBAINS</t>
  </si>
  <si>
    <t xml:space="preserve">Mise en oeuvre de mobilier urbain y compris toutes suggestions de mise en œuvre </t>
  </si>
  <si>
    <t>Ce prix rémunère à l’unité, la mise en œuvre de mobilier urbain, comprenant :</t>
  </si>
  <si>
    <t>Plus Value aux prix N°77 a) et b) pour scellement par carottage</t>
  </si>
  <si>
    <t>Ce prix rémunère à l’unité la plus value aux prix N° 76 a) et b) pour scellement du mobilier par carottage, comprenant :</t>
  </si>
  <si>
    <t>PRESTATIONS PARTICULIERES</t>
  </si>
  <si>
    <t>A- FOURNITURE ET MISE EN ŒUVRE DE MATERIAUX DE CHAUSSEE</t>
  </si>
  <si>
    <t xml:space="preserve">Fourniture et mise en œuvre de béton désactivé y compris toutes suggestions de mise en œuvre </t>
  </si>
  <si>
    <t>Ce prix rémunère au mètre carré la fourniture et mise en œuvre de béton pour la réalisation de voirie en béton désactivé, comprenant :</t>
  </si>
  <si>
    <t xml:space="preserve">Fourniture et mise en œuvre de maçonnerie y compris toutes suggestions de mise en œuvre </t>
  </si>
  <si>
    <t>Ce prix rémunère au mètre cube la fourniture et mise en œuvre de matériaux pour la réalisation de maçonnerie, comprenant :</t>
  </si>
  <si>
    <t xml:space="preserve">Fourniture et mise en œuvre d’un tissus anticontaminant y compris toutes suggestions de mise en œuvre </t>
  </si>
  <si>
    <t>Ce prix rémunère au mètre carré la fourniture et mise en œuvre de tissus anticontaminant, comprenant :</t>
  </si>
  <si>
    <t xml:space="preserve">Fourniture et mise en œuvre de bec en fonte y compris toutes suggestions de mise en œuvre </t>
  </si>
  <si>
    <t>Ce prix rémunère à l’unité la fourniture et mise en œuvre de bec en fonte pour canalisation de diamètre 100 mm, comprenant :</t>
  </si>
  <si>
    <t xml:space="preserve">Fourniture et mise en œuvre d’enrobé spéciaux y compris toutes suggestions de mise en œuvre </t>
  </si>
  <si>
    <t>Ce prix rémunère au mètre carré la fourniture et mise en œuvre d’enrobé spéciaux, comprenant :</t>
  </si>
  <si>
    <t xml:space="preserve">Rejointoiement de bordure y compris toutes suggestions de mise en œuvre </t>
  </si>
  <si>
    <t>Ce prix rémunère au mètre linéaire la réalisation de rejointoiement de bordures, comprenant :</t>
  </si>
  <si>
    <t xml:space="preserve">Fourniture et mise en œuvre d’un sable stabilisé y compris toutes suggestions de mise en œuvre </t>
  </si>
  <si>
    <t>Ce prix rémunère au mètre carré la fourniture et mise en œuvre d’un sable stabilisé sur une épaisseur moyenne de 5 cm, comprenant :</t>
  </si>
  <si>
    <t xml:space="preserve">Fourniture et mise en œuvre d’un stabilisé renforcé y compris toutes suggestions de mise en œuvre </t>
  </si>
  <si>
    <t>Ce prix rémunère au mètre carré la fourniture et mise en œuvre d’un stabilisé renforcé sur une épaisseur moyenne de 7 cm, comprenant :</t>
  </si>
  <si>
    <t>FOURNITURE ET MISE EN ŒUVRE DE MATERIAUX D’ASSAINISSEMENT</t>
  </si>
  <si>
    <t xml:space="preserve">Fourniture et mise en œuvre d’un grillage avertisseur y compris toutes suggestions de mise en œuvre </t>
  </si>
  <si>
    <t>Ce prix rémunère au mètre linéaire la fourniture et mise en œuvre d’un grillage avertisseur, comprenant :</t>
  </si>
  <si>
    <t xml:space="preserve">Fourniture et mise en œuvre d’enrobage de canalisation y compris toutes suggestions de mise en œuvre </t>
  </si>
  <si>
    <t>Ce prix rémunère au mètre cube mesuré en place la fourniture et mise en œuvre d’un enrobage de canalisation en béton, comprenant :</t>
  </si>
  <si>
    <t xml:space="preserve">Fourniture et mise en œuvre de matériaux alvéolaires y compris toutes suggestions de mise en œuvre </t>
  </si>
  <si>
    <t>Ce prix rémunère au mètre cube mesuré en place la fourniture et mise en œuvre matériaux alvéolaires pour stocker les eaux pluviales, comprenant :</t>
  </si>
  <si>
    <t>FOURNITURE ET MISE EN ŒUVRE DE PRESTATIONS DIVERSES</t>
  </si>
  <si>
    <t>Majoration sur les prix des fouilles exécutées mécaniquement
, pour fouilles exécutées entièrement à la main.</t>
  </si>
  <si>
    <t>Majoration pour surlageur de tranchée en cas de multiréseaux</t>
  </si>
  <si>
    <t>Majoration sur les prix des fouilles exécutées mécaniquement
, pour la réalisation de surlargeur de tranchée en cas de passage simultané de réseaux secs, ce prix est calculé au vide de fouille necessaire engendré par la pose de plusieurs réseaux dans la même tranchée</t>
  </si>
  <si>
    <t>Remblaiement de tranchée</t>
  </si>
  <si>
    <t xml:space="preserve">Dépose de bordures ou caniveaux y compris toutes suggestions d'exécution </t>
  </si>
  <si>
    <t>Ce prix rémunère au mètre linéaire la dépose à la main ou mécaniquement de bordure ou caniveau en béton, comprenant :</t>
  </si>
  <si>
    <t xml:space="preserve">Dépose de pavés ou dalles y compris toutes suggestions d'exécution </t>
  </si>
  <si>
    <t>Ce prix rémunère au mètre carré la dépose à la main ou mécaniquement de pavés ou dalles, comprenant :</t>
  </si>
  <si>
    <t>Plus value pour dépose soignée sur le prix N°47a et 47b pour récupération des pavés ou dalles :</t>
  </si>
  <si>
    <t>Ce prix rémunère au mètre carré la plus value pour dépose soignée en vu de réemploi à la main ou mécaniquement de pavés ou dalles, comprenant :</t>
  </si>
  <si>
    <t xml:space="preserve">Décrouttage de matériaux enrobé y compris toutes suggestions d'exécution </t>
  </si>
  <si>
    <t>Ce prix rémunère au mètre carré le décrouttage de matériaux enrobés sur une épaisseur de 0,15 m maximum, comprenant :</t>
  </si>
  <si>
    <t xml:space="preserve">Rabotage de revêtement de surface y compris toutes suggestions d'exécution </t>
  </si>
  <si>
    <t>Plus Value au prix N°50 par centimètre supérieur à l’épaisseur moyenne</t>
  </si>
  <si>
    <t>M2/CM</t>
  </si>
  <si>
    <t>Moins Value au prix N°50 par centimètre inférieur à l’épaisseur moyenne</t>
  </si>
  <si>
    <t xml:space="preserve">Réalisation d’engravure sur chaussée y compris toutes suggestions de mise en œuvre </t>
  </si>
  <si>
    <t xml:space="preserve">Mise à niveau d’ouvrages y compris toutes suggestions de mise en œuvre </t>
  </si>
  <si>
    <t>Ce prix rémunère à l’unité la mise à niveau d’ouvrages sur trottoir ou sur chaussée, comprenant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</si>
  <si>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</si>
  <si>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</si>
  <si>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</si>
  <si>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</si>
  <si>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</si>
  <si>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</si>
  <si>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</si>
  <si>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</si>
  <si>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</si>
  <si>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</si>
  <si>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</si>
  <si>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</si>
  <si>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</si>
  <si>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</si>
  <si>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</si>
  <si>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</si>
  <si>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</si>
  <si>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</si>
  <si>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</si>
  <si>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</si>
  <si>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</si>
  <si>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</si>
  <si>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</si>
  <si>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</si>
  <si>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</si>
  <si>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</si>
  <si>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</si>
  <si>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</si>
  <si>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</si>
  <si>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</si>
  <si>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</si>
  <si>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</si>
  <si>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</si>
  <si>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</si>
  <si>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</si>
  <si>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</si>
  <si>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</si>
  <si>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</si>
  <si>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</si>
  <si>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</si>
  <si>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</si>
  <si>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</si>
  <si>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</si>
  <si>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</si>
  <si>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</si>
  <si>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</si>
  <si>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</si>
  <si>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</si>
  <si>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</si>
  <si>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</si>
  <si>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</si>
  <si>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</si>
  <si>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</si>
  <si>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</si>
  <si>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</si>
  <si>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</si>
  <si>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</si>
  <si>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</si>
  <si>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</si>
  <si>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</si>
  <si>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</si>
  <si>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</si>
  <si>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</si>
  <si>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</si>
  <si>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</si>
  <si>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</si>
  <si>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</si>
  <si>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</si>
  <si>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</si>
  <si>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</si>
  <si>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</si>
  <si>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</si>
  <si>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</si>
  <si>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</si>
  <si>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</si>
  <si>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</si>
  <si>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</si>
  <si>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</si>
  <si>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</si>
  <si>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</si>
  <si>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</si>
  <si>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</si>
  <si>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</si>
  <si>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</si>
  <si>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</si>
  <si>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</si>
  <si>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</si>
  <si>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</si>
  <si>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</si>
  <si>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</si>
  <si>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</si>
  <si>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</si>
  <si>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</si>
  <si>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</si>
  <si>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</si>
  <si>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</si>
  <si>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</si>
  <si>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</si>
  <si>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</si>
  <si>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</si>
  <si>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</si>
  <si>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</si>
  <si>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</si>
  <si>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</si>
  <si>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</si>
  <si>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</si>
  <si>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</si>
  <si>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</si>
  <si>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</si>
  <si>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</si>
  <si>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</si>
  <si>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</si>
  <si>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</si>
  <si>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</si>
  <si>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</si>
  <si>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</si>
  <si>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</si>
  <si>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</si>
  <si>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</si>
  <si>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</si>
  <si>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</si>
  <si>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</si>
  <si>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</si>
  <si>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</si>
  <si>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</si>
  <si>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</si>
  <si>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</si>
  <si>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</si>
  <si>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</si>
  <si>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</si>
  <si>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</si>
  <si>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</si>
  <si>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</si>
  <si>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</si>
  <si>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</si>
  <si>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</si>
  <si>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</si>
  <si>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</si>
  <si>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</si>
  <si>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</si>
  <si>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</si>
  <si>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</si>
  <si>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</si>
  <si>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</si>
  <si>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</si>
  <si>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</si>
  <si>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</si>
  <si>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</si>
  <si>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</si>
  <si>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</si>
  <si>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</si>
  <si>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</si>
  <si>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</si>
  <si>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</si>
  <si>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</si>
  <si>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</si>
  <si>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</si>
  <si>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</si>
  <si>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</si>
  <si>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</si>
  <si>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</si>
  <si>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</si>
  <si>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</si>
  <si>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</si>
  <si>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</si>
  <si>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</si>
  <si>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</si>
  <si>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</si>
  <si>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</si>
  <si>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</si>
  <si>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</si>
  <si>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</si>
  <si>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</si>
  <si>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</si>
  <si>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</si>
  <si>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</si>
  <si>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</si>
  <si>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</si>
  <si>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</si>
  <si>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</si>
  <si>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</si>
  <si>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</si>
  <si>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</si>
  <si>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</si>
  <si>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</si>
  <si>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</si>
  <si>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</si>
  <si>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</si>
  <si>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</si>
  <si>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</si>
  <si>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</si>
  <si>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</si>
  <si>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</si>
  <si>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</si>
  <si>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</si>
  <si>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</si>
  <si>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</si>
  <si>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</si>
  <si>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</si>
  <si>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</si>
  <si>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</si>
  <si>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</si>
  <si>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</si>
  <si>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</si>
  <si>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</si>
  <si>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</si>
  <si>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</si>
  <si>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</si>
  <si>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</si>
  <si>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</si>
  <si>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</si>
  <si>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</si>
  <si>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</si>
  <si>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</si>
  <si>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</si>
  <si>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</si>
  <si>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</si>
  <si>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</si>
  <si>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</si>
  <si>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</si>
  <si>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</si>
  <si>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
  </si>
  <si>
    <t>KG</t>
  </si>
  <si>
    <t>7.a</t>
  </si>
  <si>
    <t>7.b</t>
  </si>
  <si>
    <t>7.c</t>
  </si>
  <si>
    <t>7.d</t>
  </si>
  <si>
    <t>7.e</t>
  </si>
  <si>
    <t>7.f</t>
  </si>
  <si>
    <t>7.g</t>
  </si>
  <si>
    <t>7.h</t>
  </si>
  <si>
    <t>7.i</t>
  </si>
  <si>
    <t>7.j</t>
  </si>
  <si>
    <t>7.k</t>
  </si>
  <si>
    <t>7.l</t>
  </si>
  <si>
    <t>7.m</t>
  </si>
  <si>
    <t>7.n</t>
  </si>
  <si>
    <t>7.o</t>
  </si>
  <si>
    <t>7.p</t>
  </si>
  <si>
    <t xml:space="preserve"> H</t>
  </si>
  <si>
    <t>8.d.1</t>
  </si>
  <si>
    <t xml:space="preserve"> %</t>
  </si>
  <si>
    <t>8.d</t>
  </si>
  <si>
    <t>8.c</t>
  </si>
  <si>
    <t>8.b</t>
  </si>
  <si>
    <t>8.a</t>
  </si>
  <si>
    <t>7.v.1</t>
  </si>
  <si>
    <t>7.v</t>
  </si>
  <si>
    <t>7.u</t>
  </si>
  <si>
    <t>7.t</t>
  </si>
  <si>
    <t>7.s</t>
  </si>
  <si>
    <t xml:space="preserve">Marquage au sol de ligne continue ou discontinue sur chaussée y compris toutes suggestions d'exécution </t>
  </si>
  <si>
    <t>Ce prix rémunère au mètre linéaire la réalisation de marquage de ligne continue ou discontinue, comprenant :</t>
  </si>
  <si>
    <t>A la peinture Blanche / Jaune  ou bleue:</t>
  </si>
  <si>
    <t>A la résine à froid Blanche / jaune ou bleue :</t>
  </si>
  <si>
    <t>A la résine thermoplastique Blanche / bleue ou jaune :</t>
  </si>
  <si>
    <t>Unité</t>
  </si>
  <si>
    <t>Nota :</t>
  </si>
  <si>
    <t>Définition des types de terrain</t>
  </si>
  <si>
    <t>terrain de classification 1: terrain en tuf marnes ou glaises</t>
  </si>
  <si>
    <t>terrain de classification 2: terrain rocheux necessitant une démolition au marteau piqueur</t>
  </si>
  <si>
    <t>Terrain de toute nature: tout type de terrain n'entrant pas dans les classifications 1 à 3</t>
  </si>
  <si>
    <t>Signalisation temporaire</t>
  </si>
  <si>
    <t>Ce prix rémunère forfaitairement :</t>
  </si>
  <si>
    <t>La signalisation sera conforme à l’instruction ministérielle sur la signalisation routière : Livre I, huitième partie : signalisation temporaire ou au Manuel du chef chantier Vol. 3</t>
  </si>
  <si>
    <t>FT</t>
  </si>
  <si>
    <t xml:space="preserve">Fourniture et mise en œuvre d’un passage piéton provisoire y compris toutes suggestions d'exécution </t>
  </si>
  <si>
    <t>Ce prix rémunère au mètre carré effectif :</t>
  </si>
  <si>
    <t>M2</t>
  </si>
  <si>
    <t>Constat d’huissier</t>
  </si>
  <si>
    <t xml:space="preserve">Plan de retrait amiante y compris toutes suggestions d'exécution </t>
  </si>
  <si>
    <t xml:space="preserve">Fourniture et pose d’un panneau d’information de chantier y compris toutes suggestions d'exécution </t>
  </si>
  <si>
    <t xml:space="preserve">Pose d’un panneau d’information de chantier y compris toutes suggestions d'exécution </t>
  </si>
  <si>
    <t>Mise à disposition de matériel</t>
  </si>
  <si>
    <t>Location de matériel</t>
  </si>
  <si>
    <t>Ce prix rémunère à l’heure de travail effectif : ( à la demande du maître d'ouvrage etuniquement pour les circonstances exceptionnelles )</t>
  </si>
  <si>
    <t>La durée du chantier s'étend en heures de travail effectif.</t>
  </si>
  <si>
    <t>Feux tricolores provisoires sur batteries :</t>
  </si>
  <si>
    <t>H</t>
  </si>
  <si>
    <t>Ponts lourds de chaussée :</t>
  </si>
  <si>
    <t>J</t>
  </si>
  <si>
    <t>Compresseur avec flexible et pointerolles :</t>
  </si>
  <si>
    <t>Groupe motopompe électrique ou à essence, y compris tuyaux et raccords :</t>
  </si>
  <si>
    <t>Pompe d’épuisement avec moteur essence ou diesel :</t>
  </si>
  <si>
    <t>Camion citerne d’une contenance minimale de 3000 litres :</t>
  </si>
  <si>
    <t>Véhicule automobile avec nacelle :</t>
  </si>
  <si>
    <t>Pelle automotrice simple ou polyvalente :</t>
  </si>
  <si>
    <t>Autochargeur, automoteur :</t>
  </si>
  <si>
    <t>Camion automobile pour un parcours journalier inférieur ou égal à 100km :</t>
  </si>
  <si>
    <t>Raboteuses automotrice</t>
  </si>
  <si>
    <t>Balayeuse y compris frais d’évacuation des produits :</t>
  </si>
  <si>
    <t>Point à temps – Epandage de liant :</t>
  </si>
  <si>
    <t>Mise à disposition de personnel</t>
  </si>
  <si>
    <t>Mise à disposition de personnel avec outillage</t>
  </si>
  <si>
    <t>Ce prix rémunère à l’heure : ( A la demande du maître d'ouvrage et uniquement pour les circonstances exceptionnelles )</t>
  </si>
  <si>
    <t>TRAVAUX DE VOIRIE</t>
  </si>
  <si>
    <t xml:space="preserve"> FOURNITURES</t>
  </si>
  <si>
    <t xml:space="preserve"> CHAUSSEE ET TROTTOIRS</t>
  </si>
  <si>
    <t>Fourniture de pavages et de dalles</t>
  </si>
  <si>
    <t>Ce prix rémunère au mètre carré :</t>
  </si>
  <si>
    <t>ML</t>
  </si>
  <si>
    <t>Fourniture de bordures et caniveaux de trottoir</t>
  </si>
  <si>
    <t>Bordures et caniveaux en béton pleine masse classe 100 + R type MASS’ROC ou similaire</t>
  </si>
  <si>
    <t>Ce prix rémunère au mètre linéaire :</t>
  </si>
  <si>
    <t>Fourniture de bordures grès et de bordures spéciales</t>
  </si>
  <si>
    <t>Fourniture de matériaux pour confection de chaussée, trottoir ou remblaiement de tranchée</t>
  </si>
  <si>
    <t>Ce prix rémunère au mètre cube mesuré en place :</t>
  </si>
  <si>
    <t>M3</t>
  </si>
  <si>
    <t>Fourniture de matériaux enrobés pour la confection de chaussée</t>
  </si>
  <si>
    <t>Ce prix rémunère :</t>
  </si>
  <si>
    <t>T</t>
  </si>
  <si>
    <t>Fourniture de matériaux pour la confection d’ouvrages en béton</t>
  </si>
  <si>
    <t>Au mètre cube mis en place :</t>
  </si>
  <si>
    <t>Au kilogramme :</t>
  </si>
  <si>
    <t>CANALISATIONS ET RESEAUX</t>
  </si>
  <si>
    <t>Fourniture de tuyaux d’assainissement en béton armé série 135 A</t>
  </si>
  <si>
    <t>Fourniture de tuyaux d’assainissement en fonte ductile</t>
  </si>
  <si>
    <t>Fourniture de tuyaux d’assainissement en PVC bipeau classe CR8</t>
  </si>
  <si>
    <t>Fourniture de drains PVC</t>
  </si>
  <si>
    <t>Fourniture d’accessoires de raccordement pour tuyaux PVC bipeau classe CR8</t>
  </si>
  <si>
    <t>Ce prix rémunère à l’unité :</t>
  </si>
  <si>
    <t>U</t>
  </si>
  <si>
    <t>Fourniture d’accessoires de raccordement pour tuyaux en fonte ductile</t>
  </si>
  <si>
    <t>DN = Diamètre Nominal du collecteur</t>
  </si>
  <si>
    <t>43.c</t>
  </si>
  <si>
    <t>43.b</t>
  </si>
  <si>
    <t>42.b</t>
  </si>
  <si>
    <t>42.a</t>
  </si>
  <si>
    <t>40.c</t>
  </si>
  <si>
    <t>40.b</t>
  </si>
  <si>
    <t>40.a</t>
  </si>
  <si>
    <t>39.c</t>
  </si>
  <si>
    <t>39.b</t>
  </si>
  <si>
    <t>48.b</t>
  </si>
  <si>
    <t>Pour des ouvrages en béton ordinaire d’une épaisseur = 0,20 m :</t>
  </si>
  <si>
    <t>Pour des ouvrages en béton armé vibré d’une épaisseur = 0,20 m :</t>
  </si>
  <si>
    <t>71.d</t>
  </si>
  <si>
    <t>101.c</t>
  </si>
  <si>
    <t>101.b</t>
  </si>
  <si>
    <t>99.l</t>
  </si>
  <si>
    <t>99.k</t>
  </si>
  <si>
    <t>99.j</t>
  </si>
  <si>
    <t>99.i</t>
  </si>
  <si>
    <t>99.h</t>
  </si>
  <si>
    <t>99.g</t>
  </si>
  <si>
    <t>99.f</t>
  </si>
  <si>
    <t>99.e</t>
  </si>
  <si>
    <t>99.d</t>
  </si>
  <si>
    <t>99.c</t>
  </si>
  <si>
    <t>99.b</t>
  </si>
  <si>
    <t>102.z</t>
  </si>
  <si>
    <t>102.y</t>
  </si>
  <si>
    <t>102.x</t>
  </si>
  <si>
    <t>102.w</t>
  </si>
  <si>
    <t>102.v</t>
  </si>
  <si>
    <t>102.u</t>
  </si>
  <si>
    <t>102.t</t>
  </si>
  <si>
    <t>102.s</t>
  </si>
  <si>
    <t>102.r</t>
  </si>
  <si>
    <t>102.q</t>
  </si>
  <si>
    <t>102.p</t>
  </si>
  <si>
    <t>102.o</t>
  </si>
  <si>
    <t>102.n</t>
  </si>
  <si>
    <t>102.m</t>
  </si>
  <si>
    <t>102.l</t>
  </si>
  <si>
    <t>102.k</t>
  </si>
  <si>
    <t>102.j</t>
  </si>
  <si>
    <t>102.i</t>
  </si>
  <si>
    <t>102.h</t>
  </si>
  <si>
    <t>102.g</t>
  </si>
  <si>
    <t>102.f</t>
  </si>
  <si>
    <t>102.e</t>
  </si>
  <si>
    <t>102.d</t>
  </si>
  <si>
    <t>102.c</t>
  </si>
  <si>
    <t>102.b</t>
  </si>
  <si>
    <t>104.f</t>
  </si>
  <si>
    <t>104.e</t>
  </si>
  <si>
    <t>104.d</t>
  </si>
  <si>
    <t>104.c</t>
  </si>
  <si>
    <t>104.b</t>
  </si>
  <si>
    <t>103.f</t>
  </si>
  <si>
    <t>103.e</t>
  </si>
  <si>
    <t>103.d</t>
  </si>
  <si>
    <t>103.c</t>
  </si>
  <si>
    <t>103.b</t>
  </si>
  <si>
    <t>108.d</t>
  </si>
  <si>
    <t>108.c</t>
  </si>
  <si>
    <t>108.b</t>
  </si>
  <si>
    <t>133.1</t>
  </si>
  <si>
    <t>Fourniture de manchon de scellement en fonte</t>
  </si>
  <si>
    <t xml:space="preserve"> la fourniture de barrières type croix de Saint André à l’identique des matériels posés sur la commune (RAL au choix),</t>
  </si>
  <si>
    <t xml:space="preserve">Plus value au mètre cube sur le prix N°36a et 36 b pour travaux de démolition exécutés à la main : </t>
  </si>
  <si>
    <t xml:space="preserve">Plus value sur le prix N°38 pour travaux de démolition exécutés à la main : </t>
  </si>
  <si>
    <t>Ce prix rémunère au mètre carré la mise en œuvre de pavés ou dalles, comprenant :</t>
  </si>
  <si>
    <t>Pour pavés posés sur lit de sable :</t>
  </si>
  <si>
    <t>Pour pavés posés sur lit de mortier :</t>
  </si>
  <si>
    <t>Pour dalles posées sur lit de sable :</t>
  </si>
  <si>
    <t>Pour dalles posées sur lit de mortier :</t>
  </si>
  <si>
    <t xml:space="preserve">Mise en oeuvre de bordures et caniveaux y compris toutes suggestions de mise en œuvre </t>
  </si>
  <si>
    <t>Ce prix rémunère au mètre linéaire la mise en œuvre de bordures et caniveaux de trottoir, comprenant :</t>
  </si>
  <si>
    <t xml:space="preserve">Mise en oeuvre de bordures collées y compris toutes suggestions de mise en œuvre </t>
  </si>
  <si>
    <t>Ce prix rémunère au mètre linéaire la mise en œuvre de bordures de trottoir collées, comprenant :</t>
  </si>
  <si>
    <t xml:space="preserve">Mise en oeuvre de matériaux pour corps de chaussée y compris toutes suggestions de mise en œuvre </t>
  </si>
  <si>
    <t>Ce prix rémunère au mètre cube mis en place la mise en œuvre de matériaux pour corps de chaussée, comprenant :</t>
  </si>
  <si>
    <t xml:space="preserve">Mise en oeuvre de matériaux enrobés y compris toutes suggestions de mise en œuvre </t>
  </si>
  <si>
    <t>Ce prix rémunère à la tonne la mise en œuvre de matériaux enrobés, comprenant :</t>
  </si>
  <si>
    <t>Mise en œuvre mécanique :</t>
  </si>
  <si>
    <t>Mise en œuvre manuelle :</t>
  </si>
  <si>
    <t>Ce prix rémunère au mètre carré la mise en œuvre de matériaux enrobés pour réfection de revêtement, bouchage de nids de poules, flaches et tranchées, comprenant :</t>
  </si>
  <si>
    <t xml:space="preserve">Mise en oeuvre de terre végétale y compris toutes suggestions de mise en œuvre </t>
  </si>
  <si>
    <t>Ce prix rémunère au mètre cube mesuré en place la mise en œuvre de terre végétale, comprenant :</t>
  </si>
  <si>
    <t xml:space="preserve">Mise en oeuvre de béton et aciers y compris toutes suggestions de mise en œuvre </t>
  </si>
  <si>
    <t>Ce prix rémunère au mètre cube mesuré en place la mise en œuvre à la main de béton et aciers pour la confection d’ouvrages, comprenant :</t>
  </si>
  <si>
    <t xml:space="preserve">Mise en oeuvre de regards de visite en béton préfabriqué y compris toutes suggestions de mise en œuvre </t>
  </si>
  <si>
    <t>Mise en oeuvre de regards branchement en béton préfabriqué y compris toutes suggestions d'exécution</t>
  </si>
  <si>
    <t>Tous les travaux de fourniture et mise en place de signalisation provisoire pour la sécurité des piétons et des usagers de la route</t>
  </si>
  <si>
    <t xml:space="preserve">Marquage au sol de flèches directionnelles y compris toutes suggestions d'exécution </t>
  </si>
  <si>
    <t xml:space="preserve">Marquage au sol de signalisations horizontales diverses y compris toutes suggestions d'exécution </t>
  </si>
  <si>
    <t xml:space="preserve">Marquage au sol d’arrêt de bus y compris toutes suggestions d'exécution </t>
  </si>
  <si>
    <t xml:space="preserve">Marquage au sol de mots thermocollés y compris toutes suggestions d'exécution </t>
  </si>
  <si>
    <t>Ce prix rémunère au mètre linéaire la fourniture et mise en œuvre de dalles ou pavés podotactiles, comprenant :</t>
  </si>
  <si>
    <t xml:space="preserve">Fourniture et mise en oeuvre de balises de signalisation y compris toutes suggestions d'exécution </t>
  </si>
  <si>
    <t xml:space="preserve">Fourniture et mise en oeuvre de résine à motif pavés y compris toutes suggestions d'exécution </t>
  </si>
  <si>
    <t xml:space="preserve">Fourniture et mise en place de plot lumineux ou réfléchissants y compris toutes suggestions d'exécution </t>
  </si>
  <si>
    <t xml:space="preserve">Mise en place de supports de panneaux de police y compris toutes suggestions d'exécution </t>
  </si>
  <si>
    <t>Ce prix rémunère la fourniture et mise en œuvre de supports de panneaux de police homologués suivants les normes en vigueur, acier galvanisé, section circulaire 0.60 ou rectangulaire section 80 x 40 équipés de gaines PVC et obturateur , hauteur maxi 4.50 m comprenant :</t>
  </si>
  <si>
    <t>Exécution d'un enduit au mortier de ciment de 15 mm d'épaisseur sur paroi verticale y compris fourniture du mortier dosé à 450 kg de ciment pour un mètre cube de sable par face vue</t>
  </si>
  <si>
    <t xml:space="preserve"> * compris tous coupements d'armatures s'il y a lieu.</t>
  </si>
  <si>
    <t xml:space="preserve"> * dépose avec soin du revêtement proprement dit ;</t>
  </si>
  <si>
    <t xml:space="preserve"> * nettoyage et décrottage des pavés ou dalles déposées, et rangement ou stockage pour réemploi ultérieur ;</t>
  </si>
  <si>
    <t xml:space="preserve">Avec Réfection Pavés ou dalles (Béton ou pierre naturelle) </t>
  </si>
  <si>
    <t xml:space="preserve">Réfection engazonné (Semis ou plaque) </t>
  </si>
  <si>
    <t xml:space="preserve">France TELECOM </t>
  </si>
  <si>
    <t xml:space="preserve">Réfection terre - gravier - gravillons </t>
  </si>
  <si>
    <t>Réfection de dallage béton ordinaire, sans treillis soudé :
    * nettoyage du support et compactage ;
    *  recoupement à la scie du dallage existant sur les 2 côtés de la tranchée à une distance minimale de 0,10 m de la limite extérieure des dégradations, pour obtenir des joints rectilignes et parallèles ;
    * mise en place d'un joint de coulage sur chaque côté de l'emprise, coulage du béton, et calfeutrement en surface des 2 joints en produit souple destiné à cet usage.</t>
  </si>
  <si>
    <t>Réfection de dallage béton armé d'un treillis soudé :
    *  recoupement à la scie du dallage sur les 2 côtés de la tranchée à une distance minimale de 0,10 m de la limite extérieure des dégradations, pour obtenir des joints rectilignes et parallèles ;
    * percement d'orifices dans les 2 faces de sciage pour scellement des aciers de liaison, en nombre voulu ;
    * nettoyage, grattage et dégradage des 2 faces de sciage pour assurer un bon accrochage ;
    * nettoyage et compactage du fond de forme ;
    * application d'un produit d'accrochage sur les 2 faces de sciages ;
    * scellement des goujons de liaison en acier rond au mortier de résines ;
    * coulage du dallage béton avec incorporation d'un treillis soudé.
Finition de surface comme existant en béton surfacé ou par chape rapportée.
Exécution de tous raccords de surface nécessaires.</t>
  </si>
  <si>
    <t>N° Prix</t>
  </si>
  <si>
    <t>Désignation</t>
  </si>
  <si>
    <t>Quantité</t>
  </si>
  <si>
    <t>Prix Unitaire</t>
  </si>
  <si>
    <t>Montant</t>
  </si>
  <si>
    <t>Tampons de classe C 250</t>
  </si>
  <si>
    <t xml:space="preserve">Mise en oeuvre d’accessoires de raccordement pour tuyaux en tranchée ouverte y compris toutes suggestions de mise en œuvre </t>
  </si>
  <si>
    <t xml:space="preserve">Marquage au sol de zone de stationnement y compris toutes suggestions d'exécution </t>
  </si>
  <si>
    <t>Majoration sur les prix des fouilles exécutées mécaniquement, pour fouilles exécutées entièrement à la main</t>
  </si>
  <si>
    <t>Remblaiement de tranchée avant réfection du revêtement de surface</t>
  </si>
  <si>
    <t>Le compactage de ces remblais de tranchées sera réalisé avec tous les soins requis pour obtenir la compressibilité exigée en fonction des ouvrages de surface au-dessus, et plus particulièrement pour les tranchées sous voiries, trottoirs, etc.
 Le maître d'oeuvre pourra faire réaliser des essais dont les frais seront à la charge de l'entrepreneur dans le cas de résultats non conformes.</t>
  </si>
  <si>
    <t>Réfection provisoire du revêtement sur l'emprise de la tranchée</t>
  </si>
  <si>
    <t>Réfection provisoire du revêtement de surface sur l'emprise de la tranchée.
Fondations en matériaux identiques à ceux des fondations existantes ou en matériaux analogues présentant au minimum les mêmes caractéristiques techniques, y compris tous compactages.
Mêmes épaisseurs que les fondations existantes.
Couche de finition provisoire en enrobés à froid de type semi-dense.
Cylindrage.</t>
  </si>
  <si>
    <t>Le mètre carré de refection réalisée</t>
  </si>
  <si>
    <t>Sur voirie lourde.</t>
  </si>
  <si>
    <t>Sur voirie légère, parkings, etc.</t>
  </si>
  <si>
    <t>Sur voies et aires de circulation piétonne.</t>
  </si>
  <si>
    <t>Sur trottoirs.</t>
  </si>
  <si>
    <t>Réfection définitive du revêtement routier sur l'emprise de la tranchée</t>
  </si>
  <si>
    <t>Réfection définitive du revêtement de surface en dallage béton</t>
  </si>
  <si>
    <t>Réfection définitive du dallage béton sur l'emprise de la tranchée.
Fondation en matériaux identiques à ceux de la fondation existante ou en matériaux analogues présentant au minimum les mêmes caractéristiques techniques, y compris tous compactages.
Même épaisseur que la fondation existante.
Exécution du dallage en béton :
    * composition du béton à déterminer par l'entrepreneur pour obtenir un dallage de même degré de résistance que celui existant ;
    * épaisseur égale à celle de l'existant, au minimum ;
    * finition du surface comme existant.
Balayage et nettoyage final.</t>
  </si>
  <si>
    <t>Le mètre cube de béton mis en œuvre (surface de tranchée  x épaisseur)</t>
  </si>
  <si>
    <t>Réfection définitive du revêtement en pavés, dalles et autres</t>
  </si>
  <si>
    <t>Construction d'une chambre de tirage en béton préfabriquée
comprenant:
Terrassement nécessaire en terrain de toutes natures.
La fourniture et pose de chambres conformes aux normes NF P 98-312 et NF P 98-313 avec logo FRANCE TELECOM,. Les cadres et dalles seront munis de cornières galvanisées suivant un modèle communiqué par FRANCE TELECOM.
 Elles seront équipées des supports pour équerres, qui seront, si possible, scellés à l’origine. Les dalles de
 couverture seront en acier type 125kN sous trottoir et espaces verts. Sous chaussées, parkings et accès
 garages, les chambres seront d’un type monobloc et seront recouvertes de tampons “type série lourde”. Elles
 comprendront des piédroits de 0,20 m minimum et des cadres scellés dans l’axe des piédroits et des tampons
 aciers de type 250 ou 400 kN.
Mise en place dans le fond de gravier drainant sur une hauteur minimale de 0,20 m.
Remblaiement au pourtour et enlèvement des terres en excédent hors du chantier.
 Au préalable démolition du revêtement de sol exista</t>
  </si>
  <si>
    <t>152.1</t>
  </si>
  <si>
    <t>152.2</t>
  </si>
  <si>
    <t>Tampons en fonte comprenant cadre à sceller et tampon amovible, répondant à la norme européenne NF EN 124 (novembre 1994) - Dispositifs de couronnement et de fermeture pour les zones de circulation utilisées par les piétons et les véhicules - Principes de construction, essais types, marquage, contrôle de qualité et à la marque NF.
Cadre fixé et scellé sur le dessus du regard, avec ou sans accessoires de fixation conformément aux prescriptions du fabricant.
Suivant leurs lieux d'utilisation, les tampons seront, selon la norme NF EN 124 susmentionnée, de la classe suivante :
    * B 125 : trottoirs et zones piétonnes, parkings uniquement accessibles aux véhicules de tourisme ;
    * C 250 : parkings, zone de caniveaux des rues et trottoirs ;
    * D 400 : routes et rues ;
    * E 600/F 900 : surfaces particulières telles que cours d'usine, zones portuaires, aéroports, etc.
L'entrepreneur devra toujours s'assurer que les tampons qu'il envisage de mettre en oeuvre, correspondent bien à la classe voulue en fon</t>
  </si>
  <si>
    <t xml:space="preserve">-Fourreaux PVC gris Ø 75/80, 
</t>
  </si>
  <si>
    <t xml:space="preserve">- Fourreaux PVC gris Ø 42/45
</t>
  </si>
  <si>
    <t xml:space="preserve">-Fourreaux dynothène vert Ø 28/32 </t>
  </si>
  <si>
    <t>21.b</t>
  </si>
  <si>
    <t>28.b</t>
  </si>
  <si>
    <t>28.c</t>
  </si>
  <si>
    <t>36.b</t>
  </si>
  <si>
    <t>67.k</t>
  </si>
  <si>
    <t>67.l</t>
  </si>
  <si>
    <t>67.m</t>
  </si>
  <si>
    <t>110.c</t>
  </si>
  <si>
    <t>110.d</t>
  </si>
  <si>
    <t>110.e</t>
  </si>
  <si>
    <t>110.f</t>
  </si>
  <si>
    <t>Niveau</t>
  </si>
  <si>
    <t>Type</t>
  </si>
  <si>
    <t>L</t>
  </si>
  <si>
    <t>P</t>
  </si>
  <si>
    <t>HT</t>
  </si>
  <si>
    <t>HT01</t>
  </si>
  <si>
    <t>HT02</t>
  </si>
  <si>
    <t>C</t>
  </si>
  <si>
    <t>V</t>
  </si>
  <si>
    <t>Montant HT</t>
  </si>
  <si>
    <t>Qté</t>
  </si>
  <si>
    <t>PU</t>
  </si>
  <si>
    <t>MT</t>
  </si>
  <si>
    <t>56.g</t>
  </si>
  <si>
    <t>56.h</t>
  </si>
  <si>
    <t>lit de pose et joint au mortier – Surface inférieur ≤ 20 m²</t>
  </si>
  <si>
    <t>lit de pose et joint au mortier – Surface inférieur &gt; 20m²</t>
  </si>
  <si>
    <t>Ce prix rémunère au mètre linéaire la réalisation de marquage de ligne discontinue délimitant des zones de stationnement y compris le T de délimitation des places, comprenant :</t>
  </si>
  <si>
    <t>A la peinture Blanche, Bleue ou Jaune :</t>
  </si>
  <si>
    <t>A la résine à froid Blanche ou Bleue :</t>
  </si>
  <si>
    <t>A la résine thermoplastique Blanche ou Bleue :</t>
  </si>
  <si>
    <t>Mise en dépôt des terres sur les berges.</t>
  </si>
  <si>
    <t>Façon de niches si nécessaire à l'emplacement de boîtes ou autres prévues.</t>
  </si>
  <si>
    <t>Réglage, dressement et damage du fond de fouille.</t>
  </si>
  <si>
    <t>Parois dressées avec fruit, en fonction de la nature du terrain.</t>
  </si>
  <si>
    <t>Fouille en tranchée en terrain naturel sans revêtement de surface.</t>
  </si>
  <si>
    <t>Exécution par moyens mécaniques avec finition à la main si nécessaire</t>
  </si>
  <si>
    <t>Majoration sur les prix des fouilles exécutées mécaniquement, pour la réalisation de surlargeur de tranchée en cas de passage simultané de réseaux secs, ce prix est calculé au vide de fouille necessaire engendré par la pose de plusieurs réseaux dans la même tranchée</t>
  </si>
  <si>
    <t>Chargement et enlèvement hors du chantier des terres en excédant.</t>
  </si>
  <si>
    <t>Remblaiement exécuté par couches de 0,20 m d'épaisseur, arrosées et soigneusement compactées.</t>
  </si>
  <si>
    <t>Fourniture et mise en place de grillage avertisseur plastique de couleur rouge de 0,30 m de largeur minimale, à poser à 0,30 m au-dessus de la génératrice supérieure du câble ou du fourreau.</t>
  </si>
  <si>
    <t>Au-dessus, remblaiement jusqu'au niveau du sol avec les terres en provenance de la fouille, ou si la nature de la terre n'est pas apte au remblai, en matériau d'apport à fournir et à amener par l'entrepreneur.</t>
  </si>
  <si>
    <t>Après pose du câble ou du fourreau, remblaiement de la tranchée compris la fourniture et la mise en oeuvre des matériaux d'apport</t>
  </si>
  <si>
    <t>Remblaiement en sable ou en autre matériau fin d'apport sur hauteur jusqu'à 0,20 m au-dessus de la génératrice supérieure du câble ou du fourreau.</t>
  </si>
  <si>
    <t>Largeur à démolir : celle nécessaire pour permettre la réalisation de la tranchée.Chargement et enlèvement des gravois hors du chantier.</t>
  </si>
  <si>
    <t>* démolition du revêtement comprenant le dallage proprement dit et la fondation en tous matériaux, sur toute l'épaisseur existante ;</t>
  </si>
  <si>
    <t>* coupement soigné à la scie bien rectiligne sur les 2 rives, pour obtenir une emprise à démolir de largeur régulière ;</t>
  </si>
  <si>
    <t>Démolition par tous moyens de dallage en béton, comprenant :</t>
  </si>
  <si>
    <t>Chargement et enlèvement des gravois hors du chantier.</t>
  </si>
  <si>
    <t>Largeur à démolir : celle nécessaire pour permettre la réalisation de la tranchée.</t>
  </si>
  <si>
    <t>Démolition à réaliser avec soin pour éviter toutes dégradations aux pavés ou dalles restant en place en rives de la démolition.</t>
  </si>
  <si>
    <t xml:space="preserve"> * démolition du revêtement et de sa fondation en tous matériaux et sur toute l'épaisseur existante.</t>
  </si>
  <si>
    <t>Démolition par tous moyens de revêtements en pavés, dalles, briques ou autres, en matériaux de toutes natures et de toutes dimensions, comprenant :</t>
  </si>
  <si>
    <t xml:space="preserve">Dépose à réaliser avec soin pour éviter toutes dégradations aux matériaux déposés et à ceux restant en place en rives de la démolition.
</t>
  </si>
  <si>
    <t>* démolition de la fondation en tous matériaux et sur toute l'épaisseur existante.</t>
  </si>
  <si>
    <t>Dépose manuelle avec soin pour réemploi de revêtements en pavés, dalles, briques et autres, en matériaux de toute nature et de toutes dimensions, comprenant :</t>
  </si>
  <si>
    <t>Tranchées en terrain avec revêtement de surface</t>
  </si>
  <si>
    <t>Démolition de revêtement de surface en matériaux routiers</t>
  </si>
  <si>
    <t>Le mètre cube démoli (surface démolie x épaisseur)</t>
  </si>
  <si>
    <t>Démolition de voirie lourde.</t>
  </si>
  <si>
    <t>Démolition de voirie légère, parkings, etc.</t>
  </si>
  <si>
    <t>Démolition de voies et aires de circulation piétonne.</t>
  </si>
  <si>
    <t>Démolition de trottoir en rev^tement bitumineux.</t>
  </si>
  <si>
    <t>Démolition de revêtement de surface en dallage béton</t>
  </si>
  <si>
    <t>Démolition de dallage béton ordinaire.</t>
  </si>
  <si>
    <t>Démolition de dallage béton armé de treillis soudé.</t>
  </si>
  <si>
    <t>Démolition de revêtement de surface en pavés, dalles ou autres</t>
  </si>
  <si>
    <t>Démolition de dallage en pavés de toute nature</t>
  </si>
  <si>
    <t>Dépose avec soin de revêtement de surface en pavés, dalles ou autres</t>
  </si>
  <si>
    <t>Majoration pour fouille en tranchée exécutée manuellement</t>
  </si>
  <si>
    <t xml:space="preserve">Fourniture et mise en oeuvre de dalles podoctactiles ou pavés podiotactiles y compris toutes suggestions d'exécution </t>
  </si>
  <si>
    <t>Ce prix rémunère la fourniture et mise en œuvre de panneaux de police homologués suivants les normes en vigueur, type classe 2, comprenant :</t>
  </si>
  <si>
    <t>Démolition par tous moyens de revêtements routiers en enrobés de tous types, enduits bi-couche ou asphalte, comprenant :
 * coupement soigné à la scie bien rectiligne sur les 2 rives, pour obtenir une emprise à démolir de largeur régulière ;
 * démolition du revêtement comprenant la couche de roulement et la fondation en tous matériaux, sur toute l'épaisseur existante.
Largeur à démolir : celle nécessaire pour permettre la réalisation de la tranchée.
Chargement et enlèvement des gravois hors du chantier.</t>
  </si>
  <si>
    <t xml:space="preserve"> a) Plot réfléchissants deux faces  : </t>
  </si>
  <si>
    <t xml:space="preserve"> b) Plot lumineux diode : </t>
  </si>
  <si>
    <t xml:space="preserve"> a) Panneaux format miniature tous types: </t>
  </si>
  <si>
    <t xml:space="preserve"> b) Panneaux gamme petite tous types : </t>
  </si>
  <si>
    <t xml:space="preserve"> a) Panneaux grand normale tous types: </t>
  </si>
  <si>
    <t xml:space="preserve"> b) Bavettes format miniature tous types : </t>
  </si>
  <si>
    <t xml:space="preserve"> a) Bavettes gamme petite tous types: </t>
  </si>
  <si>
    <t xml:space="preserve"> b) Bavettes grand normale tous type : </t>
  </si>
  <si>
    <t>- La dépose des anciens supports</t>
  </si>
  <si>
    <t xml:space="preserve"> l’identique de l’existant ( béton, béton désactivé, enrobé, pavés tous types ou asphalte) </t>
  </si>
  <si>
    <t xml:space="preserve"> a) Supports tous types: </t>
  </si>
  <si>
    <t>Réfection définitive du revêtement en pavés, dalles et autres sur l'emprise de la tranchée.
Fondation en matériaux identiques à ceux de la fondation existante ou en matériaux analogues présentant au minimum les mêmes caractéristiques techniques, y compris tous compactages.
Même épaisseur que la fondation existante.
Mise en place du matériau de revêtement, posé selon le cas ou mortier, sur sable ou autre, comme le revêtement existant.
Exécution des raccordements en rives avec le revêtement existant, avec remaniage partiel du revêtement existant si nécessaire pour obtenir un aspect uniforme.
Coulage et finition des joints selon le même principe que ceux existants et de même aspect.
Balayage et nettoyage final.</t>
  </si>
  <si>
    <t xml:space="preserve">Fourniture et mise en œuvre de coussins lyonnais en béton y compris toutes suggestions de mise en œuvre </t>
  </si>
  <si>
    <t>Ce prix rémunère à l’unité la fourniture et mise en œuvre d’un coussin lyonnais en béton, comprenant :</t>
  </si>
  <si>
    <t xml:space="preserve">Fourniture et mise en œuvre de coussins lyonnais en caoutchouc y compris toutes suggestions de mise en œuvre </t>
  </si>
  <si>
    <t>Ce prix rémunère à l’unité la fourniture et mise en œuvre d’un coussin lyonnais en caoutchouc vulcanisé, comprenant :</t>
  </si>
  <si>
    <t xml:space="preserve">Dépose d’un abris voyageur ou d’un abri-vélos y compris toutes suggestions de mise en œuvre </t>
  </si>
  <si>
    <t>Ce prix rémunère forfaitairement la dépose soignée d’un abris voyageur, comprenant :</t>
  </si>
  <si>
    <t>FFT</t>
  </si>
  <si>
    <t xml:space="preserve">Pose d’un abris voyageur ou d’un abri-vélos y compris toutes suggestions de mise en œuvre </t>
  </si>
  <si>
    <t>Ce prix rémunère forfaitairement la pose d’un abris voyageur, comprenant :</t>
  </si>
  <si>
    <t>PEINTURES ROUTIERES - SIGNALISATION</t>
  </si>
  <si>
    <t>Les prix définis ci-dessous comprennent:</t>
  </si>
  <si>
    <t>Tous les travaux d'implantation, de pré marquage, de fourniture, de pochage ainsi que toutes sujétions.</t>
  </si>
  <si>
    <t>Effacement de marquage au sol divers y compris toutes suggestions de mise en œuvre</t>
  </si>
  <si>
    <t>Ce prix rémunère l’effaçage de marquage au sol divers, comprenant :</t>
  </si>
  <si>
    <t>Au mètre linéaire de ligne discontinue ou continue quelque soit sa largeur :</t>
  </si>
  <si>
    <t>Au mètre carré de marquage divers (Passage piéton,STOP, CEDEZ LE PASSAGE, Logos divers,…) :</t>
  </si>
  <si>
    <t>Tampons pleins - cadre rond - tampon rond :</t>
  </si>
  <si>
    <t xml:space="preserve">    * dimensions : 850.</t>
  </si>
  <si>
    <t>Tampons à remplir - cadre rond - tampon rond :</t>
  </si>
  <si>
    <t xml:space="preserve">    * dimensions : 650 ;</t>
  </si>
  <si>
    <t>Tampons bétonnés - cadre rond - tampon rond :</t>
  </si>
  <si>
    <t>Tampons de classe D 400 - Trafic moyen et faible</t>
  </si>
  <si>
    <t>Regards à remplissage - tampons ronds :</t>
  </si>
  <si>
    <t xml:space="preserve">    * tampon à remplir - cadre rond - 850 ;</t>
  </si>
  <si>
    <t xml:space="preserve">    * tampon bétonné - cadre rond - 850 - jonc polyéthylène.</t>
  </si>
  <si>
    <t>Regards verrouillables - tampons ronds :</t>
  </si>
  <si>
    <t xml:space="preserve">    * tampon plein - cadre rond - 850.</t>
  </si>
  <si>
    <t>Tampons de classe D 400 - Trafic intense</t>
  </si>
  <si>
    <t xml:space="preserve">    * tampon bétonné - cadre rond - 850 - joint néoprène.</t>
  </si>
  <si>
    <t>Fourreaux</t>
  </si>
  <si>
    <t>Fourniture et mise en place de fourreaux en tranchée</t>
  </si>
  <si>
    <t>Fourniture et mise en place en fond de tranchée, de fourreaux de protection pour câbles électriques
Mise en place d'un lit de sable en fond de tranchée et damage.
Épaisseur minimale après damage : 0,10 m.</t>
  </si>
  <si>
    <t>Fourreaux constitués par des conduits :
    *  de type ICTL 3421 ou ICA 3422 conformes à la norme NF EN 50086-2-2 (avril 2002) - Systèmes de conduits pour installations électriques - Partie 2-2 : règles particulières pour les systèmes de conduits cintrables ;
      ou
    *  de type conformes à la norme NF EN 50086-2-4 (mai 2001) - Systèmes de conduits pour installations électriques - Partie 2-4 : règles particulières pour les systèmes de conduits enterrés dans le sol.
Fourreaux munis d'aiguille de tirage en fil inoxydable ou en matière synthétique.
Façon des raccordements sur regards ou chambres de tirage avec scellement.
Y compris manchons de jonction et bouchons d'extrémité.
Ce prix réumère le mètre linéaire de fourreaux posés</t>
  </si>
  <si>
    <t>Diamètre extérieur :</t>
  </si>
  <si>
    <t># de 63 mm ;</t>
  </si>
  <si>
    <t># de 75 mm ;</t>
  </si>
  <si>
    <t># de 90 mm ;</t>
  </si>
  <si>
    <t># de 110 mm ;</t>
  </si>
  <si>
    <t># de 160 mm.</t>
  </si>
  <si>
    <t>Fourniture et mise en place en fond de tranchée, de fourreaux de protection pour câbles telecom
Mise en place d'un lit de sable en fond de tranchée et damage.
Épaisseur minimale après damage : 0,10 m.</t>
  </si>
  <si>
    <t xml:space="preserve">Tous les fourreaux devront porter la marque NF LST
</t>
  </si>
  <si>
    <t>Ce prix réumère le mètre linéaire de fourreaux posés</t>
  </si>
  <si>
    <t>TRAVAUX GENIE CIVIL POUR ENFOUISSEMENT 
DES RESEAUX AERIENS ELECTRIQUES ET TELEPHONIQUES EN DOMAINE PRIVE</t>
  </si>
  <si>
    <t xml:space="preserve">Ces prix rémunèrent au mètre linéaire l'ouverture, 
la confection du lit de pose en sable , le remblai et la refection à l'identique des tranchées en domaine privé </t>
  </si>
  <si>
    <t xml:space="preserve">Ouverture et fermeture de tranchée </t>
  </si>
  <si>
    <t xml:space="preserve">Avec Réfection Béton (Désactivé, balayé…) </t>
  </si>
  <si>
    <t xml:space="preserve">Tranchée 1 réseau </t>
  </si>
  <si>
    <t xml:space="preserve">ERDF </t>
  </si>
  <si>
    <t>TELECOM</t>
  </si>
  <si>
    <t xml:space="preserve">Tranchée 2 réseaux </t>
  </si>
  <si>
    <t xml:space="preserve">ERDF + France TELECOM </t>
  </si>
  <si>
    <t xml:space="preserve">Plus value en pourcentage pour sur les prix 7a à 7v pour utilisation de matériel de nuit, les dimanches et jours fériés : </t>
  </si>
  <si>
    <t xml:space="preserve">Plus value en pourcentage pour sur le prix 08 a à 8d pour mise à disposition de personnel de nuit, les dimanches et jours fériés : </t>
  </si>
  <si>
    <t xml:space="preserve">Mise en oeuvre de manchon de scellement en fonte en tranchée ouverte y compris toutes suggestions de mise en œuvre </t>
  </si>
  <si>
    <t xml:space="preserve"> le scellement et la pose du tampon</t>
  </si>
  <si>
    <t xml:space="preserve"> le scellement et la pose du tampon </t>
  </si>
  <si>
    <t xml:space="preserve">Dépose de mobilier ou panneaux y compris toutes suggestions d'exécution </t>
  </si>
  <si>
    <t>Ce prix rémunère à l’unité la dépose à la main ou mécaniquement de mobilier urbain ou de panneau, comprenant :</t>
  </si>
  <si>
    <t xml:space="preserve"> Ce prix rémunère au mètre carré la plus value au prix N° 99 pour la réalisation d’un chute fond de passage piéton en résine à froid de couleur Ocre ou Vert.</t>
  </si>
  <si>
    <t>9.a</t>
  </si>
  <si>
    <t>9.b</t>
  </si>
  <si>
    <t>9.c</t>
  </si>
  <si>
    <t>9.d</t>
  </si>
  <si>
    <t>9.e</t>
  </si>
  <si>
    <t>9.f</t>
  </si>
  <si>
    <t>9.g</t>
  </si>
  <si>
    <t>9.h</t>
  </si>
  <si>
    <t>9.i</t>
  </si>
  <si>
    <t>9.j</t>
  </si>
  <si>
    <t>9.k</t>
  </si>
  <si>
    <t>9.l</t>
  </si>
  <si>
    <t>10.a</t>
  </si>
  <si>
    <t>10.b</t>
  </si>
  <si>
    <t>10.c</t>
  </si>
  <si>
    <t>10.d</t>
  </si>
  <si>
    <t>10.e</t>
  </si>
  <si>
    <t>10.f</t>
  </si>
  <si>
    <t>10.g</t>
  </si>
  <si>
    <t>10.h</t>
  </si>
  <si>
    <t>10.i</t>
  </si>
  <si>
    <t>10.j</t>
  </si>
  <si>
    <t>10.k</t>
  </si>
  <si>
    <t>11.a</t>
  </si>
  <si>
    <t>11.b</t>
  </si>
  <si>
    <t>11.c</t>
  </si>
  <si>
    <t>11.d</t>
  </si>
  <si>
    <t>11.e</t>
  </si>
  <si>
    <t>11.f</t>
  </si>
  <si>
    <t>12.a</t>
  </si>
  <si>
    <t>12.b</t>
  </si>
  <si>
    <t>12.c</t>
  </si>
  <si>
    <t>12.d</t>
  </si>
  <si>
    <t>12.e</t>
  </si>
  <si>
    <t>12.f</t>
  </si>
  <si>
    <t>12.g</t>
  </si>
  <si>
    <t>12.h</t>
  </si>
  <si>
    <t>12.i</t>
  </si>
  <si>
    <t>13.a</t>
  </si>
  <si>
    <t>13.b</t>
  </si>
  <si>
    <t>13.c</t>
  </si>
  <si>
    <t>13.d</t>
  </si>
  <si>
    <t>13.e</t>
  </si>
  <si>
    <t>13.f</t>
  </si>
  <si>
    <t>13.g</t>
  </si>
  <si>
    <t>13.h</t>
  </si>
  <si>
    <t>13.i</t>
  </si>
  <si>
    <t>13.j</t>
  </si>
  <si>
    <t>14.a</t>
  </si>
  <si>
    <t>14.b</t>
  </si>
  <si>
    <t>14.c</t>
  </si>
  <si>
    <t>14.d</t>
  </si>
  <si>
    <t>14.e</t>
  </si>
  <si>
    <t>15.a</t>
  </si>
  <si>
    <t>15.b</t>
  </si>
  <si>
    <t>15.c</t>
  </si>
  <si>
    <t>15.d</t>
  </si>
  <si>
    <t>15.e</t>
  </si>
  <si>
    <t>15.f</t>
  </si>
  <si>
    <t>16.a</t>
  </si>
  <si>
    <t>16.b</t>
  </si>
  <si>
    <t>16.c</t>
  </si>
  <si>
    <t>16.d</t>
  </si>
  <si>
    <t>16.e</t>
  </si>
  <si>
    <t>16.f</t>
  </si>
  <si>
    <t>17.a</t>
  </si>
  <si>
    <t>17.b</t>
  </si>
  <si>
    <t>17.c</t>
  </si>
  <si>
    <t>17.d</t>
  </si>
  <si>
    <t>17.e</t>
  </si>
  <si>
    <t>18.a</t>
  </si>
  <si>
    <t>18.b</t>
  </si>
  <si>
    <t>18.c</t>
  </si>
  <si>
    <t>18.d</t>
  </si>
  <si>
    <t>19.a</t>
  </si>
  <si>
    <t>19.b</t>
  </si>
  <si>
    <t>20.a</t>
  </si>
  <si>
    <t>20.b</t>
  </si>
  <si>
    <t>20.c</t>
  </si>
  <si>
    <t>20.d</t>
  </si>
  <si>
    <t>21.a</t>
  </si>
  <si>
    <t>22.a</t>
  </si>
  <si>
    <t>22.b</t>
  </si>
  <si>
    <t>22.c</t>
  </si>
  <si>
    <t>23.a</t>
  </si>
  <si>
    <t>23.b</t>
  </si>
  <si>
    <t>23.c</t>
  </si>
  <si>
    <t>23.d</t>
  </si>
  <si>
    <t>25.a</t>
  </si>
  <si>
    <t>25.b</t>
  </si>
  <si>
    <t>25.c</t>
  </si>
  <si>
    <t>25.d</t>
  </si>
  <si>
    <t>25.e</t>
  </si>
  <si>
    <t>25.f</t>
  </si>
  <si>
    <t>25.g</t>
  </si>
  <si>
    <t>25.h</t>
  </si>
  <si>
    <t>25.i</t>
  </si>
  <si>
    <t>25.j</t>
  </si>
  <si>
    <t>25.k</t>
  </si>
  <si>
    <t>26.a</t>
  </si>
  <si>
    <t>26.b</t>
  </si>
  <si>
    <t>26.c</t>
  </si>
  <si>
    <t>26.d</t>
  </si>
  <si>
    <t>26.e</t>
  </si>
  <si>
    <t>26.f</t>
  </si>
  <si>
    <t>26.g</t>
  </si>
  <si>
    <t>26.h</t>
  </si>
  <si>
    <t>26.i</t>
  </si>
  <si>
    <t>26.j</t>
  </si>
  <si>
    <t>27.a</t>
  </si>
  <si>
    <t>27.b</t>
  </si>
  <si>
    <t>28.a</t>
  </si>
  <si>
    <t>29.a</t>
  </si>
  <si>
    <t>29.b</t>
  </si>
  <si>
    <t>30.a</t>
  </si>
  <si>
    <t>30.b</t>
  </si>
  <si>
    <t>30.c</t>
  </si>
  <si>
    <t>30.d</t>
  </si>
  <si>
    <t>31.a</t>
  </si>
  <si>
    <t>31.b</t>
  </si>
  <si>
    <t>31.c</t>
  </si>
  <si>
    <t>31.d</t>
  </si>
  <si>
    <t>32.a</t>
  </si>
  <si>
    <t>32.b</t>
  </si>
  <si>
    <t>32.c</t>
  </si>
  <si>
    <t>33.a</t>
  </si>
  <si>
    <t>35.a</t>
  </si>
  <si>
    <t>35.b</t>
  </si>
  <si>
    <t>36.a</t>
  </si>
  <si>
    <t>37.a</t>
  </si>
  <si>
    <t>37.b</t>
  </si>
  <si>
    <t>38.1</t>
  </si>
  <si>
    <t>39.a</t>
  </si>
  <si>
    <t>43.a</t>
  </si>
  <si>
    <t>43.d</t>
  </si>
  <si>
    <t>43.e</t>
  </si>
  <si>
    <t>43.e.1</t>
  </si>
  <si>
    <t>44.a</t>
  </si>
  <si>
    <t>44.b</t>
  </si>
  <si>
    <t>44.c</t>
  </si>
  <si>
    <t>45.a</t>
  </si>
  <si>
    <t>45.b</t>
  </si>
  <si>
    <t>46.a</t>
  </si>
  <si>
    <t>46.b</t>
  </si>
  <si>
    <t>47.a</t>
  </si>
  <si>
    <t>47.b</t>
  </si>
  <si>
    <t>48.a</t>
  </si>
  <si>
    <t>49.a</t>
  </si>
  <si>
    <t>49.b</t>
  </si>
  <si>
    <t>50.a</t>
  </si>
  <si>
    <t>50.b</t>
  </si>
  <si>
    <t>51.a</t>
  </si>
  <si>
    <t>52.a</t>
  </si>
  <si>
    <t>52.b</t>
  </si>
  <si>
    <t>51.b</t>
  </si>
  <si>
    <t>53.a</t>
  </si>
  <si>
    <t>53.b</t>
  </si>
  <si>
    <t>53.c</t>
  </si>
  <si>
    <t>54.a</t>
  </si>
  <si>
    <t>54.b</t>
  </si>
  <si>
    <t>54.c</t>
  </si>
  <si>
    <t>54.d</t>
  </si>
  <si>
    <t>54.e</t>
  </si>
  <si>
    <t>54.f</t>
  </si>
  <si>
    <t>55.a</t>
  </si>
  <si>
    <t>55.b</t>
  </si>
  <si>
    <t>55.c</t>
  </si>
  <si>
    <t>55.d</t>
  </si>
  <si>
    <t>56.a</t>
  </si>
  <si>
    <t>56.b</t>
  </si>
  <si>
    <t>56.c</t>
  </si>
  <si>
    <t>56.d</t>
  </si>
  <si>
    <t>56.e</t>
  </si>
  <si>
    <t>56.f</t>
  </si>
  <si>
    <t>57.a</t>
  </si>
  <si>
    <t>57.b</t>
  </si>
  <si>
    <t>57.c</t>
  </si>
  <si>
    <t>57.d</t>
  </si>
  <si>
    <t>57.e</t>
  </si>
  <si>
    <t>57.f</t>
  </si>
  <si>
    <t>57.g</t>
  </si>
  <si>
    <t>58.a</t>
  </si>
  <si>
    <t>58.b</t>
  </si>
  <si>
    <t>58.c</t>
  </si>
  <si>
    <t>58.d</t>
  </si>
  <si>
    <t>59.a</t>
  </si>
  <si>
    <t>59.b</t>
  </si>
  <si>
    <t>60.a</t>
  </si>
  <si>
    <t>60.b</t>
  </si>
  <si>
    <t>60.c</t>
  </si>
  <si>
    <t>Plus Value à la tonne au prix N°60 pour intervention de nuit entre 20h00 et 5h00 (ce prix sera appliqué à la demande du maître de l’ouvrage)</t>
  </si>
  <si>
    <t>62.a</t>
  </si>
  <si>
    <t>62.b</t>
  </si>
  <si>
    <t>64.a</t>
  </si>
  <si>
    <t>64.b</t>
  </si>
  <si>
    <t>64.c</t>
  </si>
  <si>
    <t>65.a</t>
  </si>
  <si>
    <t>65.b</t>
  </si>
  <si>
    <t>65.c</t>
  </si>
  <si>
    <t>65.d</t>
  </si>
  <si>
    <t>65.e</t>
  </si>
  <si>
    <t>65.f</t>
  </si>
  <si>
    <t>65.g</t>
  </si>
  <si>
    <t>65.h</t>
  </si>
  <si>
    <t>65.i</t>
  </si>
  <si>
    <t>65.j</t>
  </si>
  <si>
    <t>65.k</t>
  </si>
  <si>
    <t>65.l</t>
  </si>
  <si>
    <t>65.m</t>
  </si>
  <si>
    <t>65.n</t>
  </si>
  <si>
    <t>65.o</t>
  </si>
  <si>
    <t>65.p</t>
  </si>
  <si>
    <t>65.q</t>
  </si>
  <si>
    <t>67.a</t>
  </si>
  <si>
    <t>67.b</t>
  </si>
  <si>
    <t>67.c</t>
  </si>
  <si>
    <t>67.d</t>
  </si>
  <si>
    <t>67.e</t>
  </si>
  <si>
    <t>67.f</t>
  </si>
  <si>
    <t>67.g</t>
  </si>
  <si>
    <t>67.h</t>
  </si>
  <si>
    <t>67.i</t>
  </si>
  <si>
    <t>67.j</t>
  </si>
  <si>
    <t>68.a</t>
  </si>
  <si>
    <t>68.b</t>
  </si>
  <si>
    <t>68.c</t>
  </si>
  <si>
    <t>68.d</t>
  </si>
  <si>
    <t>68.e</t>
  </si>
  <si>
    <t>68.f</t>
  </si>
  <si>
    <t>69.a</t>
  </si>
  <si>
    <t>69.b</t>
  </si>
  <si>
    <t>70.a</t>
  </si>
  <si>
    <t>70.b</t>
  </si>
  <si>
    <t>71.a</t>
  </si>
  <si>
    <t>71.b</t>
  </si>
  <si>
    <t>71.c</t>
  </si>
  <si>
    <t>71.e</t>
  </si>
  <si>
    <t>72.a</t>
  </si>
  <si>
    <t>72.b</t>
  </si>
  <si>
    <t>74.a</t>
  </si>
  <si>
    <t>74.b</t>
  </si>
  <si>
    <t>74.c</t>
  </si>
  <si>
    <t>75.a</t>
  </si>
  <si>
    <t>75.b</t>
  </si>
  <si>
    <t>75.c</t>
  </si>
  <si>
    <t>76.a</t>
  </si>
  <si>
    <t>76.b</t>
  </si>
  <si>
    <t>77.a</t>
  </si>
  <si>
    <t>77.b</t>
  </si>
  <si>
    <t>77.c</t>
  </si>
  <si>
    <t>79.a</t>
  </si>
  <si>
    <t>79.b</t>
  </si>
  <si>
    <t>80.a</t>
  </si>
  <si>
    <t>80.b</t>
  </si>
  <si>
    <t>81.a</t>
  </si>
  <si>
    <t>81.b</t>
  </si>
  <si>
    <t>83.a</t>
  </si>
  <si>
    <t>83.b</t>
  </si>
  <si>
    <t>83.c</t>
  </si>
  <si>
    <t>83.d</t>
  </si>
  <si>
    <t>83.e</t>
  </si>
  <si>
    <t>94.a</t>
  </si>
  <si>
    <t>94.b</t>
  </si>
  <si>
    <t>94.c</t>
  </si>
  <si>
    <t>94.d</t>
  </si>
  <si>
    <t>94.e</t>
  </si>
  <si>
    <t>94.f</t>
  </si>
  <si>
    <t>95.a</t>
  </si>
  <si>
    <t>95.b</t>
  </si>
  <si>
    <t>95.c</t>
  </si>
  <si>
    <t>95.d</t>
  </si>
  <si>
    <t>95.e</t>
  </si>
  <si>
    <t>95.f</t>
  </si>
  <si>
    <t>95.g</t>
  </si>
  <si>
    <t>95.h</t>
  </si>
  <si>
    <t>95.i</t>
  </si>
  <si>
    <t>95.j</t>
  </si>
  <si>
    <t>95.k</t>
  </si>
  <si>
    <t>95.l</t>
  </si>
  <si>
    <t>95.m</t>
  </si>
  <si>
    <t>95.n</t>
  </si>
  <si>
    <t>95.o</t>
  </si>
  <si>
    <t>95.p</t>
  </si>
  <si>
    <t>95.q</t>
  </si>
  <si>
    <t>95.r</t>
  </si>
  <si>
    <t>95.s</t>
  </si>
  <si>
    <t>95.t</t>
  </si>
  <si>
    <t>95.u</t>
  </si>
  <si>
    <t>95.v</t>
  </si>
  <si>
    <t>95.w</t>
  </si>
  <si>
    <t>95.x</t>
  </si>
  <si>
    <t>96.a</t>
  </si>
  <si>
    <t>96.e</t>
  </si>
  <si>
    <t>96.i</t>
  </si>
  <si>
    <t>96.b</t>
  </si>
  <si>
    <t>96.c</t>
  </si>
  <si>
    <t>96.d</t>
  </si>
  <si>
    <t>96.f</t>
  </si>
  <si>
    <t>96.g</t>
  </si>
  <si>
    <t>96.h</t>
  </si>
  <si>
    <t>96.j</t>
  </si>
  <si>
    <t>96.k</t>
  </si>
  <si>
    <t>96.l</t>
  </si>
  <si>
    <t>97.a</t>
  </si>
  <si>
    <t>97.b</t>
  </si>
  <si>
    <t>97.c</t>
  </si>
  <si>
    <t>97.d</t>
  </si>
  <si>
    <t>97.e</t>
  </si>
  <si>
    <t>97.f</t>
  </si>
  <si>
    <t>97.g</t>
  </si>
  <si>
    <t>97.h</t>
  </si>
  <si>
    <t>97.i</t>
  </si>
  <si>
    <t>98.a</t>
  </si>
  <si>
    <t>98.b</t>
  </si>
  <si>
    <t>98.c</t>
  </si>
  <si>
    <t>98.d</t>
  </si>
  <si>
    <t>98.e</t>
  </si>
  <si>
    <t>98.f</t>
  </si>
  <si>
    <t>98.g</t>
  </si>
  <si>
    <t>98.h</t>
  </si>
  <si>
    <t>98.i</t>
  </si>
  <si>
    <t>98.j</t>
  </si>
  <si>
    <t>98.k</t>
  </si>
  <si>
    <t>98.l</t>
  </si>
  <si>
    <t>99.a</t>
  </si>
  <si>
    <t>101.a</t>
  </si>
  <si>
    <t>102.a</t>
  </si>
  <si>
    <t>103.a</t>
  </si>
  <si>
    <t>104.a</t>
  </si>
  <si>
    <t>108.a</t>
  </si>
  <si>
    <t>109.a</t>
  </si>
  <si>
    <t>109.b</t>
  </si>
  <si>
    <t>110.a</t>
  </si>
  <si>
    <t>110.b</t>
  </si>
  <si>
    <t>111.a</t>
  </si>
  <si>
    <t>Fourniture et mise en œuvre de murs de soutènement préfabriqué en L au mètre carré hors sol posé</t>
  </si>
  <si>
    <t>116.a</t>
  </si>
  <si>
    <t>3D H1.53x2.5m sur poteaux Bekafix d'une hauteur de 2m ou équivalent</t>
  </si>
  <si>
    <t>Couleur à déterminer avec les servises techniques</t>
  </si>
  <si>
    <t>TRAVAUX GENIE CIVIL POUR ENFOUISSEMENT DES RESEAUX AERIENS ELECTRIQUES ET TELEPHONIQUES EN DOMAINE PUBLIC</t>
  </si>
  <si>
    <t>Dimensions de la tranchée suivant le CCTP</t>
  </si>
  <si>
    <t xml:space="preserve">Signalisation temporaire pour essai de circulation y compris toutes suggestions d'exécution </t>
  </si>
  <si>
    <t xml:space="preserve"> la fourniture, le transport à pied d’œuvre,</t>
  </si>
  <si>
    <t>Tampon rond de trottoirs en fonte non ventilé classe B 125 cadre rond ou carré type PAM « MEDIUM » ou similaire :</t>
  </si>
  <si>
    <t>Tampon rond de trottoirs en fonte non ventilé classe C 250 cadre rond ou carré type PAM « PAYSAGE » ou similaire :</t>
  </si>
  <si>
    <t>Tampon rond de chaussée en fonte ventilé ou non classe D 400 cadre rond ou carré type PAM « REXEL » ou similaire :</t>
  </si>
  <si>
    <t xml:space="preserve">Réfection de revêtement y compris toutes suggestions de mise en œuvre </t>
  </si>
  <si>
    <t>terrain de classification 3: terrain rocheux necessitant l'emploi d'un BRH</t>
  </si>
  <si>
    <t>BORDEREAU DES PRIX UNITAIRES</t>
  </si>
  <si>
    <t>CADOLIVE</t>
  </si>
  <si>
    <t>Marché de Travaux de VRD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</si>
</sst>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numFmt numFmtId="165" formatCode="0.000"/>
  </numFmts>
  <fonts count="46">
    <font>
      <sz val="11"/>
      <color theme="1"/>
      <name val="Calibri"/>
      <family val="2"/>
    </font>
    <font>
      <sz val="11"/>
      <color indexed="8"/>
      <name val="Calibri"/>
      <family val="2"/>
    </font>
    <font>
      <sz val="9"/>
      <name val="Arial"/>
      <family val="2"/>
    </font>
    <font>
      <b/>
      <sz val="9"/>
      <name val="Arial"/>
      <family val="2"/>
    </font>
    <font>
      <sz val="9"/>
      <name val="Tahoma"/>
      <family val="0"/>
    </font>
    <font>
      <b/>
      <i/>
      <sz val="9"/>
      <name val="Arial"/>
      <family val="2"/>
    </font>
    <font>
      <u val="single"/>
      <sz val="10"/>
      <color indexed="12"/>
      <name val="Arial"/>
      <family val="0"/>
    </font>
    <font>
      <b/>
      <i/>
      <sz val="9"/>
      <color indexed="10"/>
      <name val="Arial"/>
      <family val="2"/>
    </font>
    <font>
      <b/>
      <sz val="9"/>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b/>
      <sz val="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0" borderId="2" applyNumberFormat="0" applyFill="0" applyAlignment="0" applyProtection="0"/>
    <xf numFmtId="0" fontId="1" fillId="26" borderId="3" applyNumberFormat="0" applyFont="0" applyAlignment="0" applyProtection="0"/>
    <xf numFmtId="0" fontId="32" fillId="27" borderId="1" applyNumberFormat="0" applyAlignment="0" applyProtection="0"/>
    <xf numFmtId="0" fontId="33" fillId="28" borderId="0" applyNumberFormat="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9" borderId="0" applyNumberFormat="0" applyBorder="0" applyAlignment="0" applyProtection="0"/>
    <xf numFmtId="9" fontId="1"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58">
    <xf numFmtId="0" fontId="0" fillId="0" borderId="0" xfId="0" applyFont="1" applyAlignment="1">
      <alignment/>
    </xf>
    <xf numFmtId="49" fontId="2" fillId="0" borderId="0" xfId="0" applyNumberFormat="1" applyFont="1" applyFill="1" applyBorder="1" applyAlignment="1">
      <alignment horizontal="left" vertical="top" wrapText="1" shrinkToFit="1"/>
    </xf>
    <xf numFmtId="4" fontId="2" fillId="0" borderId="0" xfId="0" applyNumberFormat="1" applyFont="1" applyFill="1" applyBorder="1" applyAlignment="1">
      <alignment horizontal="left" vertical="top" wrapText="1" shrinkToFit="1"/>
    </xf>
    <xf numFmtId="0" fontId="2" fillId="0" borderId="0" xfId="0" applyFont="1" applyFill="1" applyBorder="1" applyAlignment="1">
      <alignment horizontal="left" vertical="top" wrapText="1" shrinkToFit="1"/>
    </xf>
    <xf numFmtId="4" fontId="2"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shrinkToFit="1"/>
    </xf>
    <xf numFmtId="4" fontId="3" fillId="0" borderId="0" xfId="0" applyNumberFormat="1" applyFont="1" applyFill="1" applyBorder="1" applyAlignment="1">
      <alignment horizontal="left" vertical="top" wrapText="1" shrinkToFit="1"/>
    </xf>
    <xf numFmtId="49" fontId="5" fillId="0" borderId="0" xfId="0" applyNumberFormat="1" applyFont="1" applyFill="1" applyBorder="1" applyAlignment="1">
      <alignment horizontal="left" vertical="top" wrapText="1" shrinkToFit="1"/>
    </xf>
    <xf numFmtId="4" fontId="5" fillId="0" borderId="0" xfId="0" applyNumberFormat="1" applyFont="1" applyFill="1" applyBorder="1" applyAlignment="1">
      <alignment horizontal="left" vertical="top" wrapText="1" shrinkToFit="1"/>
    </xf>
    <xf numFmtId="4" fontId="5" fillId="0" borderId="0" xfId="0" applyNumberFormat="1" applyFont="1" applyFill="1" applyBorder="1" applyAlignment="1" quotePrefix="1">
      <alignment horizontal="left" vertical="top" wrapText="1" shrinkToFit="1"/>
    </xf>
    <xf numFmtId="4" fontId="5"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 fontId="5" fillId="0" borderId="0" xfId="0" applyNumberFormat="1" applyFont="1" applyFill="1" applyBorder="1" applyAlignment="1" quotePrefix="1">
      <alignment horizontal="left" vertical="top" wrapText="1"/>
    </xf>
    <xf numFmtId="4" fontId="3" fillId="0" borderId="0" xfId="0" applyNumberFormat="1" applyFont="1" applyFill="1" applyBorder="1" applyAlignment="1">
      <alignment vertical="top" wrapText="1"/>
    </xf>
    <xf numFmtId="4" fontId="2" fillId="0" borderId="0" xfId="0" applyNumberFormat="1" applyFont="1" applyFill="1" applyBorder="1" applyAlignment="1">
      <alignment vertical="top" wrapText="1"/>
    </xf>
    <xf numFmtId="4" fontId="3" fillId="0" borderId="0" xfId="0" applyNumberFormat="1" applyFont="1" applyFill="1" applyBorder="1" applyAlignment="1">
      <alignment vertical="top" wrapText="1" shrinkToFit="1"/>
    </xf>
    <xf numFmtId="4" fontId="5" fillId="0" borderId="0" xfId="0" applyNumberFormat="1" applyFont="1" applyFill="1" applyBorder="1" applyAlignment="1">
      <alignment vertical="top" wrapText="1" shrinkToFit="1"/>
    </xf>
    <xf numFmtId="4" fontId="2" fillId="0" borderId="0" xfId="0" applyNumberFormat="1" applyFont="1" applyFill="1" applyBorder="1" applyAlignment="1">
      <alignment vertical="top" wrapText="1" shrinkToFit="1"/>
    </xf>
    <xf numFmtId="4" fontId="5" fillId="0" borderId="0" xfId="0" applyNumberFormat="1" applyFont="1" applyFill="1" applyBorder="1" applyAlignment="1">
      <alignment vertical="top" wrapText="1"/>
    </xf>
    <xf numFmtId="49" fontId="3"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3" fillId="32"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shrinkToFit="1"/>
    </xf>
    <xf numFmtId="49" fontId="5" fillId="0" borderId="0" xfId="0" applyNumberFormat="1" applyFont="1" applyFill="1" applyBorder="1" applyAlignment="1">
      <alignment horizontal="center" vertical="top" wrapText="1" shrinkToFit="1"/>
    </xf>
    <xf numFmtId="49" fontId="2" fillId="0" borderId="0" xfId="0" applyNumberFormat="1" applyFont="1" applyFill="1" applyBorder="1" applyAlignment="1">
      <alignment horizontal="center" vertical="top" wrapText="1" shrinkToFit="1"/>
    </xf>
    <xf numFmtId="49" fontId="5" fillId="0" borderId="0" xfId="0" applyNumberFormat="1" applyFont="1" applyFill="1" applyBorder="1" applyAlignment="1">
      <alignment horizontal="center" vertical="top" wrapText="1"/>
    </xf>
    <xf numFmtId="8" fontId="2" fillId="0" borderId="0" xfId="0" applyNumberFormat="1" applyFont="1" applyFill="1" applyBorder="1" applyAlignment="1">
      <alignment horizontal="center" vertical="top" wrapText="1" shrinkToFit="1"/>
    </xf>
    <xf numFmtId="4" fontId="3" fillId="32" borderId="0" xfId="0" applyNumberFormat="1" applyFont="1" applyFill="1" applyBorder="1" applyAlignment="1">
      <alignment horizontal="center" vertical="top" wrapText="1"/>
    </xf>
    <xf numFmtId="49" fontId="0" fillId="0" borderId="0" xfId="0" applyNumberFormat="1" applyAlignment="1">
      <alignment/>
    </xf>
    <xf numFmtId="164" fontId="0" fillId="0" borderId="0" xfId="0" applyNumberFormat="1" applyAlignment="1">
      <alignment/>
    </xf>
    <xf numFmtId="4" fontId="0" fillId="0" borderId="0" xfId="0" applyNumberFormat="1" applyAlignment="1">
      <alignment/>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NumberFormat="1"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5" fillId="0" borderId="0" xfId="0" applyNumberFormat="1" applyFont="1" applyFill="1" applyBorder="1" applyAlignment="1">
      <alignment horizontal="left" vertical="top" wrapText="1" shrinkToFit="1"/>
    </xf>
    <xf numFmtId="0" fontId="5" fillId="0" borderId="0" xfId="0" applyFont="1" applyFill="1" applyBorder="1" applyAlignment="1">
      <alignment horizontal="left" vertical="top" wrapText="1" shrinkToFit="1"/>
    </xf>
    <xf numFmtId="0" fontId="2" fillId="0" borderId="0" xfId="0" applyNumberFormat="1" applyFont="1" applyFill="1" applyBorder="1" applyAlignment="1">
      <alignment horizontal="left" vertical="top" wrapText="1" shrinkToFit="1"/>
    </xf>
    <xf numFmtId="0" fontId="5"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shrinkToFit="1"/>
    </xf>
    <xf numFmtId="8" fontId="3" fillId="33" borderId="0" xfId="0" applyNumberFormat="1" applyFont="1" applyFill="1" applyBorder="1" applyAlignment="1">
      <alignment horizontal="right" vertical="top" wrapText="1"/>
    </xf>
    <xf numFmtId="49" fontId="3" fillId="33" borderId="0" xfId="0" applyNumberFormat="1" applyFont="1" applyFill="1" applyBorder="1" applyAlignment="1">
      <alignment horizontal="center" vertical="top" wrapText="1"/>
    </xf>
    <xf numFmtId="4" fontId="3" fillId="33" borderId="0" xfId="0" applyNumberFormat="1" applyFont="1" applyFill="1" applyBorder="1" applyAlignment="1">
      <alignment vertical="top" wrapText="1"/>
    </xf>
    <xf numFmtId="4" fontId="3" fillId="0" borderId="0" xfId="0" applyNumberFormat="1" applyFont="1" applyFill="1" applyBorder="1" applyAlignment="1">
      <alignment horizontal="right" vertical="top" wrapText="1"/>
    </xf>
    <xf numFmtId="4" fontId="3" fillId="33" borderId="0" xfId="0" applyNumberFormat="1" applyFont="1" applyFill="1" applyBorder="1" applyAlignment="1">
      <alignment horizontal="right" vertical="top" wrapText="1"/>
    </xf>
    <xf numFmtId="4" fontId="3" fillId="34" borderId="0" xfId="0" applyNumberFormat="1" applyFont="1" applyFill="1" applyBorder="1" applyAlignment="1">
      <alignment horizontal="center" vertical="top" wrapText="1"/>
    </xf>
    <xf numFmtId="4" fontId="7" fillId="0" borderId="0" xfId="0" applyNumberFormat="1" applyFont="1" applyFill="1" applyBorder="1" applyAlignment="1">
      <alignment horizontal="left" vertical="top" wrapText="1" shrinkToFit="1"/>
    </xf>
    <xf numFmtId="49" fontId="8" fillId="0" borderId="0" xfId="0" applyNumberFormat="1" applyFont="1" applyFill="1" applyBorder="1" applyAlignment="1">
      <alignment horizontal="center" vertical="top" wrapText="1"/>
    </xf>
    <xf numFmtId="165" fontId="0" fillId="0" borderId="0" xfId="0" applyNumberFormat="1" applyAlignment="1">
      <alignment horizontal="right"/>
    </xf>
    <xf numFmtId="49" fontId="27" fillId="0" borderId="0" xfId="0" applyNumberFormat="1" applyFont="1" applyFill="1" applyBorder="1" applyAlignment="1">
      <alignment horizontal="left" vertical="top" wrapText="1"/>
    </xf>
    <xf numFmtId="49" fontId="26" fillId="0" borderId="10" xfId="0" applyNumberFormat="1" applyFont="1" applyFill="1" applyBorder="1" applyAlignment="1">
      <alignment horizontal="center" vertical="top" wrapText="1"/>
    </xf>
    <xf numFmtId="49" fontId="26" fillId="0" borderId="11" xfId="0" applyNumberFormat="1" applyFont="1" applyFill="1" applyBorder="1" applyAlignment="1">
      <alignment horizontal="center" vertical="top" wrapText="1"/>
    </xf>
    <xf numFmtId="4" fontId="26" fillId="0" borderId="12" xfId="0" applyNumberFormat="1" applyFont="1" applyFill="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50"/>
  <sheetViews>
    <sheetView tabSelected="1" zoomScalePageLayoutView="0" workbookViewId="0" topLeftCell="C1">
      <pane ySplit="2" topLeftCell="A36" activePane="bottomLeft" state="frozen"/>
      <selection pane="topLeft" activeCell="C1" sqref="C1"/>
      <selection pane="bottomLeft" activeCell="C1" sqref="C1:H45"/>
    </sheetView>
  </sheetViews>
  <sheetFormatPr defaultColWidth="11.421875" defaultRowHeight="15"/>
  <cols>
    <col min="1" max="1" width="12.421875" style="33" hidden="1" customWidth="1"/>
    <col min="2" max="2" width="13.7109375" style="33" hidden="1" customWidth="1"/>
    <col min="3" max="3" width="10.28125" style="12" customWidth="1"/>
    <col min="4" max="4" width="50.7109375" style="4" customWidth="1"/>
    <col min="5" max="5" width="12.7109375" style="22" customWidth="1"/>
    <col min="6" max="7" width="12.7109375" style="16" customWidth="1"/>
    <col min="8" max="8" width="11.7109375" style="15" customWidth="1"/>
    <col min="9" max="16384" width="11.421875" style="34" customWidth="1"/>
  </cols>
  <sheetData>
    <row r="1" spans="3:6" ht="36" customHeight="1">
      <c r="C1" s="54" t="s">
        <v>1866</v>
      </c>
      <c r="D1" s="57" t="s">
        <v>1865</v>
      </c>
      <c r="E1" s="55" t="s">
        <v>1867</v>
      </c>
      <c r="F1" s="56"/>
    </row>
    <row r="2" spans="1:8" s="36" customFormat="1" ht="12">
      <c r="A2" s="35" t="s">
        <v>1383</v>
      </c>
      <c r="B2" s="35" t="s">
        <v>1384</v>
      </c>
      <c r="C2" s="23" t="s">
        <v>1342</v>
      </c>
      <c r="D2" s="29" t="s">
        <v>1343</v>
      </c>
      <c r="E2" s="23" t="s">
        <v>1162</v>
      </c>
      <c r="F2" s="29" t="s">
        <v>1344</v>
      </c>
      <c r="G2" s="29" t="s">
        <v>1345</v>
      </c>
      <c r="H2" s="29" t="s">
        <v>1346</v>
      </c>
    </row>
    <row r="3" spans="1:8" s="38" customFormat="1" ht="12">
      <c r="A3" s="37">
        <f>1</f>
        <v>1</v>
      </c>
      <c r="B3" s="37" t="s">
        <v>1390</v>
      </c>
      <c r="C3" s="5" t="s">
        <v>1127</v>
      </c>
      <c r="D3" s="6"/>
      <c r="E3" s="24" t="s">
        <v>1127</v>
      </c>
      <c r="F3" s="17"/>
      <c r="G3" s="17"/>
      <c r="H3" s="17"/>
    </row>
    <row r="4" spans="1:8" s="40" customFormat="1" ht="12">
      <c r="A4" s="39">
        <f>A3+1</f>
        <v>2</v>
      </c>
      <c r="B4" s="39" t="s">
        <v>1385</v>
      </c>
      <c r="C4" s="7" t="s">
        <v>1127</v>
      </c>
      <c r="D4" s="8" t="s">
        <v>1163</v>
      </c>
      <c r="E4" s="25" t="s">
        <v>1127</v>
      </c>
      <c r="F4" s="18"/>
      <c r="G4" s="18"/>
      <c r="H4" s="17"/>
    </row>
    <row r="5" spans="1:8" s="40" customFormat="1" ht="12">
      <c r="A5" s="39">
        <f aca="true" t="shared" si="0" ref="A5:A68">A4</f>
        <v>2</v>
      </c>
      <c r="B5" s="39" t="s">
        <v>1385</v>
      </c>
      <c r="C5" s="7" t="s">
        <v>1127</v>
      </c>
      <c r="D5" s="8" t="s">
        <v>1164</v>
      </c>
      <c r="E5" s="25" t="s">
        <v>1127</v>
      </c>
      <c r="F5" s="18"/>
      <c r="G5" s="18"/>
      <c r="H5" s="17"/>
    </row>
    <row r="6" spans="1:8" s="40" customFormat="1" ht="24">
      <c r="A6" s="39">
        <f t="shared" si="0"/>
        <v>2</v>
      </c>
      <c r="B6" s="39" t="s">
        <v>1385</v>
      </c>
      <c r="C6" s="7" t="s">
        <v>1127</v>
      </c>
      <c r="D6" s="8" t="s">
        <v>1165</v>
      </c>
      <c r="E6" s="25" t="s">
        <v>1127</v>
      </c>
      <c r="F6" s="18"/>
      <c r="G6" s="18"/>
      <c r="H6" s="17"/>
    </row>
    <row r="7" spans="1:8" s="40" customFormat="1" ht="24">
      <c r="A7" s="39">
        <f t="shared" si="0"/>
        <v>2</v>
      </c>
      <c r="B7" s="39" t="s">
        <v>1385</v>
      </c>
      <c r="C7" s="7" t="s">
        <v>1127</v>
      </c>
      <c r="D7" s="8" t="s">
        <v>1166</v>
      </c>
      <c r="E7" s="25" t="s">
        <v>1127</v>
      </c>
      <c r="F7" s="18"/>
      <c r="G7" s="18"/>
      <c r="H7" s="17"/>
    </row>
    <row r="8" spans="1:8" s="40" customFormat="1" ht="24">
      <c r="A8" s="39">
        <f t="shared" si="0"/>
        <v>2</v>
      </c>
      <c r="B8" s="39" t="s">
        <v>1385</v>
      </c>
      <c r="C8" s="7" t="s">
        <v>1127</v>
      </c>
      <c r="D8" s="8" t="s">
        <v>1864</v>
      </c>
      <c r="E8" s="25" t="s">
        <v>1127</v>
      </c>
      <c r="F8" s="18"/>
      <c r="G8" s="18"/>
      <c r="H8" s="17"/>
    </row>
    <row r="9" spans="1:8" s="40" customFormat="1" ht="24">
      <c r="A9" s="39">
        <f t="shared" si="0"/>
        <v>2</v>
      </c>
      <c r="B9" s="39" t="s">
        <v>1385</v>
      </c>
      <c r="C9" s="7" t="s">
        <v>1127</v>
      </c>
      <c r="D9" s="8" t="s">
        <v>1167</v>
      </c>
      <c r="E9" s="25" t="s">
        <v>1127</v>
      </c>
      <c r="F9" s="18"/>
      <c r="G9" s="18"/>
      <c r="H9" s="17"/>
    </row>
    <row r="10" spans="1:8" s="40" customFormat="1" ht="12">
      <c r="A10" s="39">
        <f t="shared" si="0"/>
        <v>2</v>
      </c>
      <c r="B10" s="39" t="s">
        <v>1385</v>
      </c>
      <c r="C10" s="7" t="s">
        <v>1127</v>
      </c>
      <c r="D10" s="8" t="s">
        <v>1168</v>
      </c>
      <c r="E10" s="25" t="s">
        <v>1127</v>
      </c>
      <c r="F10" s="18"/>
      <c r="G10" s="18"/>
      <c r="H10" s="17"/>
    </row>
    <row r="11" spans="1:8" s="3" customFormat="1" ht="24">
      <c r="A11" s="41">
        <f t="shared" si="0"/>
        <v>2</v>
      </c>
      <c r="B11" s="41" t="s">
        <v>1386</v>
      </c>
      <c r="C11" s="1" t="s">
        <v>906</v>
      </c>
      <c r="D11" s="2" t="s">
        <v>1858</v>
      </c>
      <c r="E11" s="26" t="s">
        <v>1171</v>
      </c>
      <c r="F11" s="19">
        <v>0</v>
      </c>
      <c r="G11" s="19"/>
      <c r="H11" s="17">
        <f>ROUND((P_2_1 Qté)*(P_2_1 PU),2)</f>
        <v>0</v>
      </c>
    </row>
    <row r="12" spans="1:8" s="40" customFormat="1" ht="12">
      <c r="A12" s="39">
        <f t="shared" si="0"/>
        <v>2</v>
      </c>
      <c r="B12" s="39" t="s">
        <v>1385</v>
      </c>
      <c r="C12" s="7" t="s">
        <v>1127</v>
      </c>
      <c r="D12" s="8" t="s">
        <v>1169</v>
      </c>
      <c r="E12" s="25" t="s">
        <v>1127</v>
      </c>
      <c r="F12" s="18"/>
      <c r="G12" s="18"/>
      <c r="H12" s="17"/>
    </row>
    <row r="13" spans="1:8" s="40" customFormat="1" ht="36">
      <c r="A13" s="39">
        <f t="shared" si="0"/>
        <v>2</v>
      </c>
      <c r="B13" s="39" t="s">
        <v>1385</v>
      </c>
      <c r="C13" s="7" t="s">
        <v>1127</v>
      </c>
      <c r="D13" s="9" t="s">
        <v>540</v>
      </c>
      <c r="E13" s="25" t="s">
        <v>1127</v>
      </c>
      <c r="F13" s="18"/>
      <c r="G13" s="18"/>
      <c r="H13" s="17"/>
    </row>
    <row r="14" spans="1:8" s="40" customFormat="1" ht="60">
      <c r="A14" s="39">
        <f t="shared" si="0"/>
        <v>2</v>
      </c>
      <c r="B14" s="39" t="s">
        <v>1385</v>
      </c>
      <c r="C14" s="7" t="s">
        <v>1127</v>
      </c>
      <c r="D14" s="8" t="s">
        <v>541</v>
      </c>
      <c r="E14" s="25" t="s">
        <v>1127</v>
      </c>
      <c r="F14" s="18"/>
      <c r="G14" s="18"/>
      <c r="H14" s="17"/>
    </row>
    <row r="15" spans="1:8" s="40" customFormat="1" ht="36">
      <c r="A15" s="39">
        <f t="shared" si="0"/>
        <v>2</v>
      </c>
      <c r="B15" s="39" t="s">
        <v>1385</v>
      </c>
      <c r="C15" s="7" t="s">
        <v>1127</v>
      </c>
      <c r="D15" s="9" t="s">
        <v>542</v>
      </c>
      <c r="E15" s="25" t="s">
        <v>1127</v>
      </c>
      <c r="F15" s="18"/>
      <c r="G15" s="18"/>
      <c r="H15" s="17"/>
    </row>
    <row r="16" spans="1:8" s="40" customFormat="1" ht="12">
      <c r="A16" s="39">
        <f t="shared" si="0"/>
        <v>2</v>
      </c>
      <c r="B16" s="39" t="s">
        <v>1385</v>
      </c>
      <c r="C16" s="7" t="s">
        <v>1127</v>
      </c>
      <c r="D16" s="9" t="s">
        <v>543</v>
      </c>
      <c r="E16" s="25" t="s">
        <v>1127</v>
      </c>
      <c r="F16" s="18"/>
      <c r="G16" s="18"/>
      <c r="H16" s="17"/>
    </row>
    <row r="17" spans="1:8" s="40" customFormat="1" ht="48">
      <c r="A17" s="39">
        <f t="shared" si="0"/>
        <v>2</v>
      </c>
      <c r="B17" s="39" t="s">
        <v>1385</v>
      </c>
      <c r="C17" s="7" t="s">
        <v>1127</v>
      </c>
      <c r="D17" s="8" t="s">
        <v>1170</v>
      </c>
      <c r="E17" s="25" t="s">
        <v>1127</v>
      </c>
      <c r="F17" s="18"/>
      <c r="G17" s="18"/>
      <c r="H17" s="17"/>
    </row>
    <row r="18" spans="1:8" s="3" customFormat="1" ht="24">
      <c r="A18" s="41">
        <f t="shared" si="0"/>
        <v>2</v>
      </c>
      <c r="B18" s="41" t="s">
        <v>1386</v>
      </c>
      <c r="C18" s="1" t="s">
        <v>907</v>
      </c>
      <c r="D18" s="2" t="s">
        <v>1172</v>
      </c>
      <c r="E18" s="26" t="s">
        <v>1174</v>
      </c>
      <c r="F18" s="19">
        <v>0</v>
      </c>
      <c r="G18" s="19"/>
      <c r="H18" s="17">
        <f>ROUND((P_2_2 Qté)*(P_2_2 PU),2)</f>
        <v>0</v>
      </c>
    </row>
    <row r="19" spans="1:8" s="40" customFormat="1" ht="12">
      <c r="A19" s="39">
        <f t="shared" si="0"/>
        <v>2</v>
      </c>
      <c r="B19" s="39" t="s">
        <v>1385</v>
      </c>
      <c r="C19" s="7" t="s">
        <v>1127</v>
      </c>
      <c r="D19" s="8" t="s">
        <v>1173</v>
      </c>
      <c r="E19" s="25" t="s">
        <v>1127</v>
      </c>
      <c r="F19" s="18"/>
      <c r="G19" s="18"/>
      <c r="H19" s="17"/>
    </row>
    <row r="20" spans="1:8" s="40" customFormat="1" ht="24">
      <c r="A20" s="39">
        <f t="shared" si="0"/>
        <v>2</v>
      </c>
      <c r="B20" s="39" t="s">
        <v>1385</v>
      </c>
      <c r="C20" s="7" t="s">
        <v>1127</v>
      </c>
      <c r="D20" s="9" t="s">
        <v>544</v>
      </c>
      <c r="E20" s="25" t="s">
        <v>1127</v>
      </c>
      <c r="F20" s="18"/>
      <c r="G20" s="18"/>
      <c r="H20" s="17"/>
    </row>
    <row r="21" spans="1:8" s="40" customFormat="1" ht="24">
      <c r="A21" s="39">
        <f t="shared" si="0"/>
        <v>2</v>
      </c>
      <c r="B21" s="39" t="s">
        <v>1385</v>
      </c>
      <c r="C21" s="7" t="s">
        <v>1127</v>
      </c>
      <c r="D21" s="9" t="s">
        <v>545</v>
      </c>
      <c r="E21" s="25" t="s">
        <v>1127</v>
      </c>
      <c r="F21" s="18"/>
      <c r="G21" s="18"/>
      <c r="H21" s="17"/>
    </row>
    <row r="22" spans="1:8" s="40" customFormat="1" ht="36">
      <c r="A22" s="39">
        <f t="shared" si="0"/>
        <v>2</v>
      </c>
      <c r="B22" s="39" t="s">
        <v>1385</v>
      </c>
      <c r="C22" s="7" t="s">
        <v>1127</v>
      </c>
      <c r="D22" s="9" t="s">
        <v>546</v>
      </c>
      <c r="E22" s="25" t="s">
        <v>1127</v>
      </c>
      <c r="F22" s="18"/>
      <c r="G22" s="18"/>
      <c r="H22" s="17"/>
    </row>
    <row r="23" spans="1:8" s="3" customFormat="1" ht="12">
      <c r="A23" s="41">
        <f t="shared" si="0"/>
        <v>2</v>
      </c>
      <c r="B23" s="41" t="s">
        <v>1386</v>
      </c>
      <c r="C23" s="1" t="s">
        <v>908</v>
      </c>
      <c r="D23" s="2" t="s">
        <v>1175</v>
      </c>
      <c r="E23" s="26" t="s">
        <v>1171</v>
      </c>
      <c r="F23" s="19">
        <v>0</v>
      </c>
      <c r="G23" s="19"/>
      <c r="H23" s="17">
        <f>ROUND((P_2_3 Qté)*(P_2_3 PU),2)</f>
        <v>0</v>
      </c>
    </row>
    <row r="24" spans="1:8" s="40" customFormat="1" ht="12">
      <c r="A24" s="39">
        <f t="shared" si="0"/>
        <v>2</v>
      </c>
      <c r="B24" s="39" t="s">
        <v>1385</v>
      </c>
      <c r="C24" s="7" t="s">
        <v>1127</v>
      </c>
      <c r="D24" s="8" t="s">
        <v>1169</v>
      </c>
      <c r="E24" s="25" t="s">
        <v>1127</v>
      </c>
      <c r="F24" s="18"/>
      <c r="G24" s="18"/>
      <c r="H24" s="17"/>
    </row>
    <row r="25" spans="1:8" s="40" customFormat="1" ht="36">
      <c r="A25" s="39">
        <f t="shared" si="0"/>
        <v>2</v>
      </c>
      <c r="B25" s="39" t="s">
        <v>1385</v>
      </c>
      <c r="C25" s="7" t="s">
        <v>1127</v>
      </c>
      <c r="D25" s="9" t="s">
        <v>547</v>
      </c>
      <c r="E25" s="25" t="s">
        <v>1127</v>
      </c>
      <c r="F25" s="18"/>
      <c r="G25" s="18"/>
      <c r="H25" s="17"/>
    </row>
    <row r="26" spans="1:8" s="40" customFormat="1" ht="24">
      <c r="A26" s="39">
        <f t="shared" si="0"/>
        <v>2</v>
      </c>
      <c r="B26" s="39" t="s">
        <v>1385</v>
      </c>
      <c r="C26" s="7" t="s">
        <v>1127</v>
      </c>
      <c r="D26" s="9" t="s">
        <v>548</v>
      </c>
      <c r="E26" s="25" t="s">
        <v>1127</v>
      </c>
      <c r="F26" s="18"/>
      <c r="G26" s="18"/>
      <c r="H26" s="17"/>
    </row>
    <row r="27" spans="1:8" s="40" customFormat="1" ht="36">
      <c r="A27" s="39">
        <f t="shared" si="0"/>
        <v>2</v>
      </c>
      <c r="B27" s="39" t="s">
        <v>1385</v>
      </c>
      <c r="C27" s="7" t="s">
        <v>1127</v>
      </c>
      <c r="D27" s="9" t="s">
        <v>549</v>
      </c>
      <c r="E27" s="25" t="s">
        <v>1127</v>
      </c>
      <c r="F27" s="18"/>
      <c r="G27" s="18"/>
      <c r="H27" s="17"/>
    </row>
    <row r="28" spans="1:8" s="3" customFormat="1" ht="24">
      <c r="A28" s="41">
        <f t="shared" si="0"/>
        <v>2</v>
      </c>
      <c r="B28" s="41" t="s">
        <v>1386</v>
      </c>
      <c r="C28" s="1" t="s">
        <v>909</v>
      </c>
      <c r="D28" s="2" t="s">
        <v>1176</v>
      </c>
      <c r="E28" s="26" t="s">
        <v>1171</v>
      </c>
      <c r="F28" s="19">
        <v>0</v>
      </c>
      <c r="G28" s="19"/>
      <c r="H28" s="17">
        <f>ROUND((P_2_4 Qté)*(P_2_4 PU),2)</f>
        <v>0</v>
      </c>
    </row>
    <row r="29" spans="1:8" s="40" customFormat="1" ht="12">
      <c r="A29" s="39">
        <f t="shared" si="0"/>
        <v>2</v>
      </c>
      <c r="B29" s="39" t="s">
        <v>1385</v>
      </c>
      <c r="C29" s="7" t="s">
        <v>1127</v>
      </c>
      <c r="D29" s="8" t="s">
        <v>1169</v>
      </c>
      <c r="E29" s="25" t="s">
        <v>1127</v>
      </c>
      <c r="F29" s="18"/>
      <c r="G29" s="18"/>
      <c r="H29" s="17"/>
    </row>
    <row r="30" spans="1:8" s="40" customFormat="1" ht="36">
      <c r="A30" s="39">
        <f t="shared" si="0"/>
        <v>2</v>
      </c>
      <c r="B30" s="39" t="s">
        <v>1385</v>
      </c>
      <c r="C30" s="7" t="s">
        <v>1127</v>
      </c>
      <c r="D30" s="9" t="s">
        <v>550</v>
      </c>
      <c r="E30" s="25" t="s">
        <v>1127</v>
      </c>
      <c r="F30" s="18"/>
      <c r="G30" s="18"/>
      <c r="H30" s="17"/>
    </row>
    <row r="31" spans="1:8" s="40" customFormat="1" ht="12">
      <c r="A31" s="39">
        <f t="shared" si="0"/>
        <v>2</v>
      </c>
      <c r="B31" s="39" t="s">
        <v>1385</v>
      </c>
      <c r="C31" s="7" t="s">
        <v>1127</v>
      </c>
      <c r="D31" s="9" t="s">
        <v>551</v>
      </c>
      <c r="E31" s="25" t="s">
        <v>1127</v>
      </c>
      <c r="F31" s="18"/>
      <c r="G31" s="18"/>
      <c r="H31" s="17"/>
    </row>
    <row r="32" spans="1:8" s="40" customFormat="1" ht="24">
      <c r="A32" s="39">
        <f t="shared" si="0"/>
        <v>2</v>
      </c>
      <c r="B32" s="39" t="s">
        <v>1385</v>
      </c>
      <c r="C32" s="7" t="s">
        <v>1127</v>
      </c>
      <c r="D32" s="9" t="s">
        <v>552</v>
      </c>
      <c r="E32" s="25" t="s">
        <v>1127</v>
      </c>
      <c r="F32" s="18"/>
      <c r="G32" s="18"/>
      <c r="H32" s="17"/>
    </row>
    <row r="33" spans="1:8" s="3" customFormat="1" ht="24">
      <c r="A33" s="41">
        <f t="shared" si="0"/>
        <v>2</v>
      </c>
      <c r="B33" s="41" t="s">
        <v>1386</v>
      </c>
      <c r="C33" s="1" t="s">
        <v>910</v>
      </c>
      <c r="D33" s="2" t="s">
        <v>1177</v>
      </c>
      <c r="E33" s="26" t="s">
        <v>1171</v>
      </c>
      <c r="F33" s="19">
        <v>0</v>
      </c>
      <c r="G33" s="19"/>
      <c r="H33" s="17">
        <f>ROUND((P_2_5 Qté)*(P_2_5 PU),2)</f>
        <v>0</v>
      </c>
    </row>
    <row r="34" spans="1:8" s="40" customFormat="1" ht="12">
      <c r="A34" s="39">
        <f t="shared" si="0"/>
        <v>2</v>
      </c>
      <c r="B34" s="39" t="s">
        <v>1385</v>
      </c>
      <c r="C34" s="7" t="s">
        <v>1127</v>
      </c>
      <c r="D34" s="8" t="s">
        <v>1169</v>
      </c>
      <c r="E34" s="25" t="s">
        <v>1127</v>
      </c>
      <c r="F34" s="18"/>
      <c r="G34" s="18"/>
      <c r="H34" s="17"/>
    </row>
    <row r="35" spans="1:8" s="40" customFormat="1" ht="48">
      <c r="A35" s="39">
        <f t="shared" si="0"/>
        <v>2</v>
      </c>
      <c r="B35" s="39" t="s">
        <v>1385</v>
      </c>
      <c r="C35" s="7" t="s">
        <v>1127</v>
      </c>
      <c r="D35" s="9" t="s">
        <v>553</v>
      </c>
      <c r="E35" s="25" t="s">
        <v>1127</v>
      </c>
      <c r="F35" s="18"/>
      <c r="G35" s="18"/>
      <c r="H35" s="17"/>
    </row>
    <row r="36" spans="1:8" s="40" customFormat="1" ht="24">
      <c r="A36" s="39">
        <f t="shared" si="0"/>
        <v>2</v>
      </c>
      <c r="B36" s="39" t="s">
        <v>1385</v>
      </c>
      <c r="C36" s="7" t="s">
        <v>1127</v>
      </c>
      <c r="D36" s="9" t="s">
        <v>554</v>
      </c>
      <c r="E36" s="25" t="s">
        <v>1127</v>
      </c>
      <c r="F36" s="18"/>
      <c r="G36" s="18"/>
      <c r="H36" s="17"/>
    </row>
    <row r="37" spans="1:8" s="40" customFormat="1" ht="12">
      <c r="A37" s="39">
        <f t="shared" si="0"/>
        <v>2</v>
      </c>
      <c r="B37" s="39" t="s">
        <v>1385</v>
      </c>
      <c r="C37" s="7" t="s">
        <v>1127</v>
      </c>
      <c r="D37" s="9" t="s">
        <v>555</v>
      </c>
      <c r="E37" s="25" t="s">
        <v>1127</v>
      </c>
      <c r="F37" s="18"/>
      <c r="G37" s="18"/>
      <c r="H37" s="17"/>
    </row>
    <row r="38" spans="1:8" s="40" customFormat="1" ht="24">
      <c r="A38" s="39">
        <f t="shared" si="0"/>
        <v>2</v>
      </c>
      <c r="B38" s="39" t="s">
        <v>1385</v>
      </c>
      <c r="C38" s="7" t="s">
        <v>1127</v>
      </c>
      <c r="D38" s="9" t="s">
        <v>556</v>
      </c>
      <c r="E38" s="25" t="s">
        <v>1127</v>
      </c>
      <c r="F38" s="18"/>
      <c r="G38" s="18"/>
      <c r="H38" s="17"/>
    </row>
    <row r="39" spans="1:8" s="3" customFormat="1" ht="24">
      <c r="A39" s="41">
        <f t="shared" si="0"/>
        <v>2</v>
      </c>
      <c r="B39" s="41" t="s">
        <v>1386</v>
      </c>
      <c r="C39" s="1" t="s">
        <v>911</v>
      </c>
      <c r="D39" s="2" t="s">
        <v>1178</v>
      </c>
      <c r="E39" s="26" t="s">
        <v>1171</v>
      </c>
      <c r="F39" s="19">
        <v>0</v>
      </c>
      <c r="G39" s="19"/>
      <c r="H39" s="17">
        <f>ROUND((P_2_6 Qté)*(P_2_6 PU),2)</f>
        <v>0</v>
      </c>
    </row>
    <row r="40" spans="1:8" s="40" customFormat="1" ht="12">
      <c r="A40" s="39">
        <f t="shared" si="0"/>
        <v>2</v>
      </c>
      <c r="B40" s="39" t="s">
        <v>1385</v>
      </c>
      <c r="C40" s="7" t="s">
        <v>1127</v>
      </c>
      <c r="D40" s="8" t="s">
        <v>1169</v>
      </c>
      <c r="E40" s="25" t="s">
        <v>1127</v>
      </c>
      <c r="F40" s="18"/>
      <c r="G40" s="18"/>
      <c r="H40" s="17"/>
    </row>
    <row r="41" spans="1:8" s="40" customFormat="1" ht="48">
      <c r="A41" s="39">
        <f t="shared" si="0"/>
        <v>2</v>
      </c>
      <c r="B41" s="39" t="s">
        <v>1385</v>
      </c>
      <c r="C41" s="7" t="s">
        <v>1127</v>
      </c>
      <c r="D41" s="9" t="s">
        <v>557</v>
      </c>
      <c r="E41" s="25" t="s">
        <v>1127</v>
      </c>
      <c r="F41" s="18"/>
      <c r="G41" s="18"/>
      <c r="H41" s="17"/>
    </row>
    <row r="42" spans="1:8" s="40" customFormat="1" ht="24">
      <c r="A42" s="39">
        <f t="shared" si="0"/>
        <v>2</v>
      </c>
      <c r="B42" s="39" t="s">
        <v>1385</v>
      </c>
      <c r="C42" s="7" t="s">
        <v>1127</v>
      </c>
      <c r="D42" s="9" t="s">
        <v>558</v>
      </c>
      <c r="E42" s="25" t="s">
        <v>1127</v>
      </c>
      <c r="F42" s="18"/>
      <c r="G42" s="18"/>
      <c r="H42" s="17"/>
    </row>
    <row r="43" spans="1:8" s="43" customFormat="1" ht="24">
      <c r="A43" s="42">
        <f t="shared" si="0"/>
        <v>2</v>
      </c>
      <c r="B43" s="42" t="s">
        <v>1385</v>
      </c>
      <c r="C43" s="13" t="s">
        <v>1127</v>
      </c>
      <c r="D43" s="14" t="s">
        <v>556</v>
      </c>
      <c r="E43" s="27" t="s">
        <v>1127</v>
      </c>
      <c r="F43" s="20"/>
      <c r="G43" s="20"/>
      <c r="H43" s="15"/>
    </row>
    <row r="44" spans="1:8" s="43" customFormat="1" ht="12">
      <c r="A44" s="42">
        <f t="shared" si="0"/>
        <v>2</v>
      </c>
      <c r="B44" s="42" t="s">
        <v>1385</v>
      </c>
      <c r="C44" s="13" t="s">
        <v>1127</v>
      </c>
      <c r="D44" s="10" t="s">
        <v>1179</v>
      </c>
      <c r="E44" s="27" t="s">
        <v>1127</v>
      </c>
      <c r="F44" s="20"/>
      <c r="G44" s="20"/>
      <c r="H44" s="15"/>
    </row>
    <row r="45" spans="1:8" s="43" customFormat="1" ht="12">
      <c r="A45" s="42">
        <f t="shared" si="0"/>
        <v>2</v>
      </c>
      <c r="B45" s="42" t="s">
        <v>1385</v>
      </c>
      <c r="C45" s="13" t="s">
        <v>912</v>
      </c>
      <c r="D45" s="10" t="s">
        <v>1180</v>
      </c>
      <c r="E45" s="27" t="s">
        <v>1127</v>
      </c>
      <c r="F45" s="20"/>
      <c r="G45" s="20"/>
      <c r="H45" s="15"/>
    </row>
    <row r="46" spans="1:8" s="43" customFormat="1" ht="36">
      <c r="A46" s="42">
        <f t="shared" si="0"/>
        <v>2</v>
      </c>
      <c r="B46" s="42" t="s">
        <v>1385</v>
      </c>
      <c r="C46" s="13" t="s">
        <v>1127</v>
      </c>
      <c r="D46" s="10" t="s">
        <v>1181</v>
      </c>
      <c r="E46" s="27" t="s">
        <v>1127</v>
      </c>
      <c r="F46" s="20"/>
      <c r="G46" s="20"/>
      <c r="H46" s="15"/>
    </row>
    <row r="47" spans="1:8" s="43" customFormat="1" ht="12">
      <c r="A47" s="42">
        <f t="shared" si="0"/>
        <v>2</v>
      </c>
      <c r="B47" s="42" t="s">
        <v>1385</v>
      </c>
      <c r="C47" s="13" t="s">
        <v>1127</v>
      </c>
      <c r="D47" s="14" t="s">
        <v>559</v>
      </c>
      <c r="E47" s="27" t="s">
        <v>1127</v>
      </c>
      <c r="F47" s="20"/>
      <c r="G47" s="20"/>
      <c r="H47" s="15"/>
    </row>
    <row r="48" spans="1:8" s="43" customFormat="1" ht="24">
      <c r="A48" s="42">
        <f t="shared" si="0"/>
        <v>2</v>
      </c>
      <c r="B48" s="42" t="s">
        <v>1385</v>
      </c>
      <c r="C48" s="13" t="s">
        <v>1127</v>
      </c>
      <c r="D48" s="14" t="s">
        <v>560</v>
      </c>
      <c r="E48" s="27" t="s">
        <v>1127</v>
      </c>
      <c r="F48" s="20"/>
      <c r="G48" s="20"/>
      <c r="H48" s="15"/>
    </row>
    <row r="49" spans="1:8" s="43" customFormat="1" ht="36">
      <c r="A49" s="42">
        <f t="shared" si="0"/>
        <v>2</v>
      </c>
      <c r="B49" s="42" t="s">
        <v>1385</v>
      </c>
      <c r="C49" s="13" t="s">
        <v>1127</v>
      </c>
      <c r="D49" s="14" t="s">
        <v>561</v>
      </c>
      <c r="E49" s="27" t="s">
        <v>1127</v>
      </c>
      <c r="F49" s="20"/>
      <c r="G49" s="20"/>
      <c r="H49" s="15"/>
    </row>
    <row r="50" spans="1:8" s="43" customFormat="1" ht="12">
      <c r="A50" s="42">
        <f t="shared" si="0"/>
        <v>2</v>
      </c>
      <c r="B50" s="42" t="s">
        <v>1385</v>
      </c>
      <c r="C50" s="13" t="s">
        <v>1127</v>
      </c>
      <c r="D50" s="14" t="s">
        <v>562</v>
      </c>
      <c r="E50" s="27" t="s">
        <v>1127</v>
      </c>
      <c r="F50" s="20"/>
      <c r="G50" s="20"/>
      <c r="H50" s="15"/>
    </row>
    <row r="51" spans="1:8" s="43" customFormat="1" ht="24">
      <c r="A51" s="42">
        <f t="shared" si="0"/>
        <v>2</v>
      </c>
      <c r="B51" s="42" t="s">
        <v>1385</v>
      </c>
      <c r="C51" s="13" t="s">
        <v>1127</v>
      </c>
      <c r="D51" s="10" t="s">
        <v>1182</v>
      </c>
      <c r="E51" s="27" t="s">
        <v>1127</v>
      </c>
      <c r="F51" s="20"/>
      <c r="G51" s="20"/>
      <c r="H51" s="15"/>
    </row>
    <row r="52" spans="1:8" s="43" customFormat="1" ht="12">
      <c r="A52" s="42">
        <f t="shared" si="0"/>
        <v>2</v>
      </c>
      <c r="B52" s="42" t="s">
        <v>1385</v>
      </c>
      <c r="C52" s="13" t="s">
        <v>1127</v>
      </c>
      <c r="D52" s="10" t="s">
        <v>1183</v>
      </c>
      <c r="E52" s="27" t="s">
        <v>1127</v>
      </c>
      <c r="F52" s="20"/>
      <c r="G52" s="20"/>
      <c r="H52" s="15"/>
    </row>
    <row r="53" spans="1:8" ht="12">
      <c r="A53" s="33">
        <f t="shared" si="0"/>
        <v>2</v>
      </c>
      <c r="B53" s="33" t="s">
        <v>1386</v>
      </c>
      <c r="C53" s="12" t="s">
        <v>1129</v>
      </c>
      <c r="D53" s="4" t="s">
        <v>563</v>
      </c>
      <c r="E53" s="22" t="s">
        <v>1184</v>
      </c>
      <c r="F53" s="16">
        <v>0</v>
      </c>
      <c r="H53" s="15">
        <f>ROUND((P_2_7.a Qté)*(P_2_7.a PU),2)</f>
        <v>0</v>
      </c>
    </row>
    <row r="54" spans="1:8" s="43" customFormat="1" ht="12">
      <c r="A54" s="42">
        <f t="shared" si="0"/>
        <v>2</v>
      </c>
      <c r="B54" s="42" t="s">
        <v>1385</v>
      </c>
      <c r="C54" s="13" t="s">
        <v>1127</v>
      </c>
      <c r="D54" s="10" t="s">
        <v>1185</v>
      </c>
      <c r="E54" s="27" t="s">
        <v>1127</v>
      </c>
      <c r="F54" s="20"/>
      <c r="G54" s="20"/>
      <c r="H54" s="15"/>
    </row>
    <row r="55" spans="1:8" ht="24">
      <c r="A55" s="33">
        <f t="shared" si="0"/>
        <v>2</v>
      </c>
      <c r="B55" s="33" t="s">
        <v>1386</v>
      </c>
      <c r="C55" s="12" t="s">
        <v>1130</v>
      </c>
      <c r="D55" s="4" t="s">
        <v>564</v>
      </c>
      <c r="E55" s="22" t="s">
        <v>1186</v>
      </c>
      <c r="F55" s="16">
        <v>0</v>
      </c>
      <c r="H55" s="15">
        <f>ROUND((P_2_7.b Qté)*(P_2_7.b PU),2)</f>
        <v>0</v>
      </c>
    </row>
    <row r="56" spans="1:8" s="43" customFormat="1" ht="12">
      <c r="A56" s="42">
        <f t="shared" si="0"/>
        <v>2</v>
      </c>
      <c r="B56" s="42" t="s">
        <v>1385</v>
      </c>
      <c r="C56" s="13" t="s">
        <v>1127</v>
      </c>
      <c r="D56" s="10" t="s">
        <v>1187</v>
      </c>
      <c r="E56" s="27" t="s">
        <v>1127</v>
      </c>
      <c r="F56" s="20"/>
      <c r="G56" s="20"/>
      <c r="H56" s="15"/>
    </row>
    <row r="57" spans="1:8" ht="12">
      <c r="A57" s="33">
        <f t="shared" si="0"/>
        <v>2</v>
      </c>
      <c r="B57" s="33" t="s">
        <v>1386</v>
      </c>
      <c r="C57" s="12" t="s">
        <v>1131</v>
      </c>
      <c r="D57" s="4" t="s">
        <v>565</v>
      </c>
      <c r="E57" s="22" t="s">
        <v>1184</v>
      </c>
      <c r="F57" s="16">
        <v>0</v>
      </c>
      <c r="H57" s="15">
        <f>ROUND((P_2_7.c Qté)*(P_2_7.c PU),2)</f>
        <v>0</v>
      </c>
    </row>
    <row r="58" spans="1:8" s="43" customFormat="1" ht="24">
      <c r="A58" s="42">
        <f t="shared" si="0"/>
        <v>2</v>
      </c>
      <c r="B58" s="42" t="s">
        <v>1385</v>
      </c>
      <c r="C58" s="13" t="s">
        <v>1127</v>
      </c>
      <c r="D58" s="10" t="s">
        <v>1188</v>
      </c>
      <c r="E58" s="27" t="s">
        <v>1127</v>
      </c>
      <c r="F58" s="20"/>
      <c r="G58" s="20"/>
      <c r="H58" s="15"/>
    </row>
    <row r="59" spans="1:8" ht="12">
      <c r="A59" s="33">
        <f t="shared" si="0"/>
        <v>2</v>
      </c>
      <c r="B59" s="33" t="s">
        <v>1386</v>
      </c>
      <c r="C59" s="12" t="s">
        <v>1132</v>
      </c>
      <c r="D59" s="4" t="s">
        <v>566</v>
      </c>
      <c r="E59" s="22" t="s">
        <v>1184</v>
      </c>
      <c r="F59" s="16">
        <v>0</v>
      </c>
      <c r="H59" s="15">
        <f>ROUND((P_2_7.d Qté)*(P_2_7.d PU),2)</f>
        <v>0</v>
      </c>
    </row>
    <row r="60" spans="1:8" ht="12">
      <c r="A60" s="33">
        <f t="shared" si="0"/>
        <v>2</v>
      </c>
      <c r="B60" s="33" t="s">
        <v>1386</v>
      </c>
      <c r="C60" s="12" t="s">
        <v>1133</v>
      </c>
      <c r="D60" s="4" t="s">
        <v>567</v>
      </c>
      <c r="E60" s="22" t="s">
        <v>1184</v>
      </c>
      <c r="F60" s="16">
        <v>0</v>
      </c>
      <c r="H60" s="15">
        <f>ROUND((P_2_7.e Qté)*(P_2_7.e PU),2)</f>
        <v>0</v>
      </c>
    </row>
    <row r="61" spans="1:8" s="43" customFormat="1" ht="24">
      <c r="A61" s="42">
        <f t="shared" si="0"/>
        <v>2</v>
      </c>
      <c r="B61" s="42" t="s">
        <v>1385</v>
      </c>
      <c r="C61" s="13" t="s">
        <v>1127</v>
      </c>
      <c r="D61" s="10" t="s">
        <v>1189</v>
      </c>
      <c r="E61" s="27" t="s">
        <v>1127</v>
      </c>
      <c r="F61" s="20"/>
      <c r="G61" s="20"/>
      <c r="H61" s="15"/>
    </row>
    <row r="62" spans="1:8" ht="12">
      <c r="A62" s="33">
        <f t="shared" si="0"/>
        <v>2</v>
      </c>
      <c r="B62" s="33" t="s">
        <v>1386</v>
      </c>
      <c r="C62" s="12" t="s">
        <v>1134</v>
      </c>
      <c r="D62" s="4" t="s">
        <v>568</v>
      </c>
      <c r="E62" s="22" t="s">
        <v>1184</v>
      </c>
      <c r="F62" s="16">
        <v>0</v>
      </c>
      <c r="H62" s="15">
        <f>ROUND((P_2_7.f Qté)*(P_2_7.f PU),2)</f>
        <v>0</v>
      </c>
    </row>
    <row r="63" spans="1:8" ht="12">
      <c r="A63" s="33">
        <f t="shared" si="0"/>
        <v>2</v>
      </c>
      <c r="B63" s="33" t="s">
        <v>1386</v>
      </c>
      <c r="C63" s="12" t="s">
        <v>1135</v>
      </c>
      <c r="D63" s="4" t="s">
        <v>569</v>
      </c>
      <c r="E63" s="22" t="s">
        <v>1184</v>
      </c>
      <c r="F63" s="16">
        <v>0</v>
      </c>
      <c r="H63" s="15">
        <f>ROUND((P_2_7.g Qté)*(P_2_7.g PU),2)</f>
        <v>0</v>
      </c>
    </row>
    <row r="64" spans="1:8" s="43" customFormat="1" ht="24">
      <c r="A64" s="42">
        <f t="shared" si="0"/>
        <v>2</v>
      </c>
      <c r="B64" s="42" t="s">
        <v>1385</v>
      </c>
      <c r="C64" s="13" t="s">
        <v>1127</v>
      </c>
      <c r="D64" s="10" t="s">
        <v>1190</v>
      </c>
      <c r="E64" s="27" t="s">
        <v>1127</v>
      </c>
      <c r="F64" s="20"/>
      <c r="G64" s="20"/>
      <c r="H64" s="15"/>
    </row>
    <row r="65" spans="1:8" ht="24">
      <c r="A65" s="33">
        <f t="shared" si="0"/>
        <v>2</v>
      </c>
      <c r="B65" s="33" t="s">
        <v>1386</v>
      </c>
      <c r="C65" s="12" t="s">
        <v>1136</v>
      </c>
      <c r="D65" s="4" t="s">
        <v>570</v>
      </c>
      <c r="E65" s="22" t="s">
        <v>1184</v>
      </c>
      <c r="F65" s="16">
        <v>0</v>
      </c>
      <c r="H65" s="15">
        <f>ROUND((P_2_7.h Qté)*(P_2_7.h PU),2)</f>
        <v>0</v>
      </c>
    </row>
    <row r="66" spans="1:8" s="43" customFormat="1" ht="12">
      <c r="A66" s="42">
        <f t="shared" si="0"/>
        <v>2</v>
      </c>
      <c r="B66" s="42" t="s">
        <v>1385</v>
      </c>
      <c r="C66" s="13" t="s">
        <v>1127</v>
      </c>
      <c r="D66" s="10" t="s">
        <v>1191</v>
      </c>
      <c r="E66" s="27" t="s">
        <v>1127</v>
      </c>
      <c r="F66" s="20"/>
      <c r="G66" s="20"/>
      <c r="H66" s="15"/>
    </row>
    <row r="67" spans="1:8" ht="12">
      <c r="A67" s="33">
        <f t="shared" si="0"/>
        <v>2</v>
      </c>
      <c r="B67" s="33" t="s">
        <v>1386</v>
      </c>
      <c r="C67" s="12" t="s">
        <v>1137</v>
      </c>
      <c r="D67" s="4" t="s">
        <v>571</v>
      </c>
      <c r="E67" s="22" t="s">
        <v>1184</v>
      </c>
      <c r="F67" s="16">
        <v>0</v>
      </c>
      <c r="H67" s="15">
        <f>ROUND((P_2_7.i Qté)*(P_2_7.i PU),2)</f>
        <v>0</v>
      </c>
    </row>
    <row r="68" spans="1:8" s="43" customFormat="1" ht="12">
      <c r="A68" s="42">
        <f t="shared" si="0"/>
        <v>2</v>
      </c>
      <c r="B68" s="42" t="s">
        <v>1385</v>
      </c>
      <c r="C68" s="13" t="s">
        <v>1127</v>
      </c>
      <c r="D68" s="10" t="s">
        <v>1192</v>
      </c>
      <c r="E68" s="27" t="s">
        <v>1127</v>
      </c>
      <c r="F68" s="20"/>
      <c r="G68" s="20"/>
      <c r="H68" s="15"/>
    </row>
    <row r="69" spans="1:8" ht="12">
      <c r="A69" s="33">
        <f aca="true" t="shared" si="1" ref="A69:A132">A68</f>
        <v>2</v>
      </c>
      <c r="B69" s="33" t="s">
        <v>1386</v>
      </c>
      <c r="C69" s="12" t="s">
        <v>1138</v>
      </c>
      <c r="D69" s="4" t="s">
        <v>572</v>
      </c>
      <c r="E69" s="22" t="s">
        <v>1184</v>
      </c>
      <c r="F69" s="16">
        <v>0</v>
      </c>
      <c r="H69" s="15">
        <f>ROUND((P_2_7.j Qté)*(P_2_7.j PU),2)</f>
        <v>0</v>
      </c>
    </row>
    <row r="70" spans="1:8" ht="12">
      <c r="A70" s="33">
        <f t="shared" si="1"/>
        <v>2</v>
      </c>
      <c r="B70" s="33" t="s">
        <v>1386</v>
      </c>
      <c r="C70" s="12" t="s">
        <v>1139</v>
      </c>
      <c r="D70" s="4" t="s">
        <v>573</v>
      </c>
      <c r="E70" s="22" t="s">
        <v>1184</v>
      </c>
      <c r="F70" s="16">
        <v>0</v>
      </c>
      <c r="H70" s="15">
        <f>ROUND((P_2_7.k Qté)*(P_2_7.k PU),2)</f>
        <v>0</v>
      </c>
    </row>
    <row r="71" spans="1:8" ht="12">
      <c r="A71" s="33">
        <f t="shared" si="1"/>
        <v>2</v>
      </c>
      <c r="B71" s="33" t="s">
        <v>1386</v>
      </c>
      <c r="C71" s="12" t="s">
        <v>1140</v>
      </c>
      <c r="D71" s="4" t="s">
        <v>574</v>
      </c>
      <c r="E71" s="22" t="s">
        <v>1184</v>
      </c>
      <c r="F71" s="16">
        <v>0</v>
      </c>
      <c r="H71" s="15">
        <f>ROUND((P_2_7.l Qté)*(P_2_7.l PU),2)</f>
        <v>0</v>
      </c>
    </row>
    <row r="72" spans="1:8" s="43" customFormat="1" ht="12">
      <c r="A72" s="42">
        <f t="shared" si="1"/>
        <v>2</v>
      </c>
      <c r="B72" s="42" t="s">
        <v>1385</v>
      </c>
      <c r="C72" s="13" t="s">
        <v>1127</v>
      </c>
      <c r="D72" s="10" t="s">
        <v>1193</v>
      </c>
      <c r="E72" s="27" t="s">
        <v>1127</v>
      </c>
      <c r="F72" s="20"/>
      <c r="G72" s="20"/>
      <c r="H72" s="15"/>
    </row>
    <row r="73" spans="1:8" ht="12">
      <c r="A73" s="33">
        <f t="shared" si="1"/>
        <v>2</v>
      </c>
      <c r="B73" s="33" t="s">
        <v>1386</v>
      </c>
      <c r="C73" s="12" t="s">
        <v>1141</v>
      </c>
      <c r="D73" s="4" t="s">
        <v>575</v>
      </c>
      <c r="E73" s="22" t="s">
        <v>1184</v>
      </c>
      <c r="F73" s="16">
        <v>0</v>
      </c>
      <c r="H73" s="15">
        <f>ROUND((P_2_7.m Qté)*(P_2_7.m PU),2)</f>
        <v>0</v>
      </c>
    </row>
    <row r="74" spans="1:8" ht="12">
      <c r="A74" s="33">
        <f t="shared" si="1"/>
        <v>2</v>
      </c>
      <c r="B74" s="33" t="s">
        <v>1386</v>
      </c>
      <c r="C74" s="12" t="s">
        <v>1142</v>
      </c>
      <c r="D74" s="4" t="s">
        <v>576</v>
      </c>
      <c r="E74" s="22" t="s">
        <v>1184</v>
      </c>
      <c r="F74" s="16">
        <v>0</v>
      </c>
      <c r="H74" s="15">
        <f>ROUND((P_2_7.n Qté)*(P_2_7.n PU),2)</f>
        <v>0</v>
      </c>
    </row>
    <row r="75" spans="1:8" s="43" customFormat="1" ht="24">
      <c r="A75" s="42">
        <f t="shared" si="1"/>
        <v>2</v>
      </c>
      <c r="B75" s="42" t="s">
        <v>1385</v>
      </c>
      <c r="C75" s="13" t="s">
        <v>1127</v>
      </c>
      <c r="D75" s="10" t="s">
        <v>1194</v>
      </c>
      <c r="E75" s="27" t="s">
        <v>1127</v>
      </c>
      <c r="F75" s="20"/>
      <c r="G75" s="20"/>
      <c r="H75" s="15"/>
    </row>
    <row r="76" spans="1:8" ht="12">
      <c r="A76" s="33">
        <f t="shared" si="1"/>
        <v>2</v>
      </c>
      <c r="B76" s="33" t="s">
        <v>1386</v>
      </c>
      <c r="C76" s="12" t="s">
        <v>1143</v>
      </c>
      <c r="D76" s="4" t="s">
        <v>577</v>
      </c>
      <c r="E76" s="22" t="s">
        <v>1184</v>
      </c>
      <c r="F76" s="16">
        <v>0</v>
      </c>
      <c r="H76" s="15">
        <f>ROUND((P_2_7.o Qté)*(P_2_7.o PU),2)</f>
        <v>0</v>
      </c>
    </row>
    <row r="77" spans="1:8" ht="12">
      <c r="A77" s="33">
        <f t="shared" si="1"/>
        <v>2</v>
      </c>
      <c r="B77" s="33" t="s">
        <v>1386</v>
      </c>
      <c r="C77" s="12" t="s">
        <v>1144</v>
      </c>
      <c r="D77" s="4" t="s">
        <v>578</v>
      </c>
      <c r="E77" s="22" t="s">
        <v>1145</v>
      </c>
      <c r="F77" s="16">
        <v>0</v>
      </c>
      <c r="H77" s="15">
        <f>ROUND((P_2_7.p Qté)*(P_2_7.p PU),2)</f>
        <v>0</v>
      </c>
    </row>
    <row r="78" spans="1:8" ht="12">
      <c r="A78" s="33">
        <f t="shared" si="1"/>
        <v>2</v>
      </c>
      <c r="B78" s="33" t="s">
        <v>1386</v>
      </c>
      <c r="C78" s="12" t="s">
        <v>788</v>
      </c>
      <c r="D78" s="4" t="s">
        <v>579</v>
      </c>
      <c r="E78" s="22" t="s">
        <v>1145</v>
      </c>
      <c r="F78" s="16">
        <v>0</v>
      </c>
      <c r="H78" s="15">
        <f>ROUND((P_2_7.q Qté)*(P_2_7.q PU),2)</f>
        <v>0</v>
      </c>
    </row>
    <row r="79" spans="1:8" ht="12">
      <c r="A79" s="33">
        <f t="shared" si="1"/>
        <v>2</v>
      </c>
      <c r="B79" s="33" t="s">
        <v>1386</v>
      </c>
      <c r="C79" s="12" t="s">
        <v>787</v>
      </c>
      <c r="D79" s="4" t="s">
        <v>580</v>
      </c>
      <c r="E79" s="22" t="s">
        <v>1145</v>
      </c>
      <c r="F79" s="16">
        <v>0</v>
      </c>
      <c r="H79" s="15">
        <f>ROUND((P_2_7.r Qté)*(P_2_7.r PU),2)</f>
        <v>0</v>
      </c>
    </row>
    <row r="80" spans="1:8" s="43" customFormat="1" ht="12">
      <c r="A80" s="42">
        <f t="shared" si="1"/>
        <v>2</v>
      </c>
      <c r="B80" s="42" t="s">
        <v>1385</v>
      </c>
      <c r="C80" s="13" t="s">
        <v>1127</v>
      </c>
      <c r="D80" s="10" t="s">
        <v>1195</v>
      </c>
      <c r="E80" s="27" t="s">
        <v>1127</v>
      </c>
      <c r="F80" s="20"/>
      <c r="G80" s="20"/>
      <c r="H80" s="15"/>
    </row>
    <row r="81" spans="1:8" ht="12">
      <c r="A81" s="33">
        <f t="shared" si="1"/>
        <v>2</v>
      </c>
      <c r="B81" s="33" t="s">
        <v>1386</v>
      </c>
      <c r="C81" s="12" t="s">
        <v>1156</v>
      </c>
      <c r="D81" s="4" t="s">
        <v>581</v>
      </c>
      <c r="E81" s="22" t="s">
        <v>1184</v>
      </c>
      <c r="F81" s="16">
        <v>0</v>
      </c>
      <c r="H81" s="15">
        <f>ROUND((P_2_7.s Qté)*(P_2_7.s PU),2)</f>
        <v>0</v>
      </c>
    </row>
    <row r="82" spans="1:8" ht="12">
      <c r="A82" s="33">
        <f t="shared" si="1"/>
        <v>2</v>
      </c>
      <c r="B82" s="33" t="s">
        <v>1386</v>
      </c>
      <c r="C82" s="12" t="s">
        <v>1155</v>
      </c>
      <c r="D82" s="4" t="s">
        <v>582</v>
      </c>
      <c r="E82" s="22" t="s">
        <v>1145</v>
      </c>
      <c r="F82" s="16">
        <v>0</v>
      </c>
      <c r="H82" s="15">
        <f>ROUND((P_2_7.t Qté)*(P_2_7.t PU),2)</f>
        <v>0</v>
      </c>
    </row>
    <row r="83" spans="1:8" s="43" customFormat="1" ht="24">
      <c r="A83" s="42">
        <f t="shared" si="1"/>
        <v>2</v>
      </c>
      <c r="B83" s="42" t="s">
        <v>1385</v>
      </c>
      <c r="C83" s="13" t="s">
        <v>1127</v>
      </c>
      <c r="D83" s="10" t="s">
        <v>1196</v>
      </c>
      <c r="E83" s="27" t="s">
        <v>1127</v>
      </c>
      <c r="F83" s="20"/>
      <c r="G83" s="20"/>
      <c r="H83" s="15"/>
    </row>
    <row r="84" spans="1:8" ht="24">
      <c r="A84" s="33">
        <f t="shared" si="1"/>
        <v>2</v>
      </c>
      <c r="B84" s="33" t="s">
        <v>1386</v>
      </c>
      <c r="C84" s="12" t="s">
        <v>1154</v>
      </c>
      <c r="D84" s="4" t="s">
        <v>583</v>
      </c>
      <c r="E84" s="22" t="s">
        <v>1184</v>
      </c>
      <c r="F84" s="16">
        <v>0</v>
      </c>
      <c r="H84" s="15">
        <f>ROUND((P_2_7.u Qté)*(P_2_7.u PU),2)</f>
        <v>0</v>
      </c>
    </row>
    <row r="85" spans="1:8" s="43" customFormat="1" ht="12">
      <c r="A85" s="42">
        <f t="shared" si="1"/>
        <v>2</v>
      </c>
      <c r="B85" s="42" t="s">
        <v>1385</v>
      </c>
      <c r="C85" s="13" t="s">
        <v>1127</v>
      </c>
      <c r="D85" s="10" t="s">
        <v>1197</v>
      </c>
      <c r="E85" s="27" t="s">
        <v>1127</v>
      </c>
      <c r="F85" s="20"/>
      <c r="G85" s="20"/>
      <c r="H85" s="15"/>
    </row>
    <row r="86" spans="1:8" ht="36">
      <c r="A86" s="33">
        <f t="shared" si="1"/>
        <v>2</v>
      </c>
      <c r="B86" s="33" t="s">
        <v>1386</v>
      </c>
      <c r="C86" s="12" t="s">
        <v>1153</v>
      </c>
      <c r="D86" s="4" t="s">
        <v>584</v>
      </c>
      <c r="E86" s="22" t="s">
        <v>1184</v>
      </c>
      <c r="F86" s="16">
        <v>0</v>
      </c>
      <c r="H86" s="15">
        <f>ROUND((P_2_7.v Qté)*(P_2_7.v PU),2)</f>
        <v>0</v>
      </c>
    </row>
    <row r="87" spans="1:8" ht="36">
      <c r="A87" s="33">
        <f t="shared" si="1"/>
        <v>2</v>
      </c>
      <c r="B87" s="33" t="s">
        <v>1386</v>
      </c>
      <c r="C87" s="12" t="s">
        <v>1152</v>
      </c>
      <c r="D87" s="4" t="s">
        <v>1509</v>
      </c>
      <c r="E87" s="52" t="s">
        <v>1147</v>
      </c>
      <c r="F87" s="16">
        <v>0</v>
      </c>
      <c r="H87" s="15">
        <f>ROUND((P_2_7.v.1 Qté)*(P_2_7.v.1 PU),2)</f>
        <v>0</v>
      </c>
    </row>
    <row r="88" spans="1:8" s="43" customFormat="1" ht="12">
      <c r="A88" s="42">
        <f t="shared" si="1"/>
        <v>2</v>
      </c>
      <c r="B88" s="42" t="s">
        <v>1385</v>
      </c>
      <c r="C88" s="13" t="s">
        <v>1127</v>
      </c>
      <c r="D88" s="10" t="s">
        <v>1198</v>
      </c>
      <c r="E88" s="27" t="s">
        <v>1127</v>
      </c>
      <c r="F88" s="20"/>
      <c r="G88" s="20"/>
      <c r="H88" s="15"/>
    </row>
    <row r="89" spans="1:8" s="43" customFormat="1" ht="12">
      <c r="A89" s="42">
        <f t="shared" si="1"/>
        <v>2</v>
      </c>
      <c r="B89" s="42" t="s">
        <v>1385</v>
      </c>
      <c r="C89" s="13" t="s">
        <v>913</v>
      </c>
      <c r="D89" s="10" t="s">
        <v>1199</v>
      </c>
      <c r="E89" s="27" t="s">
        <v>1127</v>
      </c>
      <c r="F89" s="20"/>
      <c r="G89" s="20"/>
      <c r="H89" s="15"/>
    </row>
    <row r="90" spans="1:8" s="43" customFormat="1" ht="36">
      <c r="A90" s="42">
        <f t="shared" si="1"/>
        <v>2</v>
      </c>
      <c r="B90" s="42" t="s">
        <v>1385</v>
      </c>
      <c r="C90" s="13" t="s">
        <v>1127</v>
      </c>
      <c r="D90" s="10" t="s">
        <v>1200</v>
      </c>
      <c r="E90" s="27" t="s">
        <v>1127</v>
      </c>
      <c r="F90" s="20"/>
      <c r="G90" s="20"/>
      <c r="H90" s="15"/>
    </row>
    <row r="91" spans="1:8" s="43" customFormat="1" ht="12">
      <c r="A91" s="42">
        <f t="shared" si="1"/>
        <v>2</v>
      </c>
      <c r="B91" s="42" t="s">
        <v>1385</v>
      </c>
      <c r="C91" s="13" t="s">
        <v>1127</v>
      </c>
      <c r="D91" s="14" t="s">
        <v>585</v>
      </c>
      <c r="E91" s="27" t="s">
        <v>1127</v>
      </c>
      <c r="F91" s="20"/>
      <c r="G91" s="20"/>
      <c r="H91" s="15"/>
    </row>
    <row r="92" spans="1:8" s="43" customFormat="1" ht="12">
      <c r="A92" s="42">
        <f t="shared" si="1"/>
        <v>2</v>
      </c>
      <c r="B92" s="42" t="s">
        <v>1385</v>
      </c>
      <c r="C92" s="13" t="s">
        <v>1127</v>
      </c>
      <c r="D92" s="14" t="s">
        <v>586</v>
      </c>
      <c r="E92" s="27" t="s">
        <v>1127</v>
      </c>
      <c r="F92" s="20"/>
      <c r="G92" s="20"/>
      <c r="H92" s="15"/>
    </row>
    <row r="93" spans="1:8" s="43" customFormat="1" ht="12">
      <c r="A93" s="42">
        <f t="shared" si="1"/>
        <v>2</v>
      </c>
      <c r="B93" s="42" t="s">
        <v>1385</v>
      </c>
      <c r="C93" s="13" t="s">
        <v>1127</v>
      </c>
      <c r="D93" s="14" t="s">
        <v>562</v>
      </c>
      <c r="E93" s="27" t="s">
        <v>1127</v>
      </c>
      <c r="F93" s="20"/>
      <c r="G93" s="20"/>
      <c r="H93" s="15"/>
    </row>
    <row r="94" spans="1:8" s="43" customFormat="1" ht="24">
      <c r="A94" s="42">
        <f t="shared" si="1"/>
        <v>2</v>
      </c>
      <c r="B94" s="42" t="s">
        <v>1385</v>
      </c>
      <c r="C94" s="13" t="s">
        <v>1127</v>
      </c>
      <c r="D94" s="10" t="s">
        <v>1182</v>
      </c>
      <c r="E94" s="27" t="s">
        <v>1127</v>
      </c>
      <c r="F94" s="20"/>
      <c r="G94" s="20"/>
      <c r="H94" s="15"/>
    </row>
    <row r="95" spans="1:8" ht="12">
      <c r="A95" s="33">
        <f t="shared" si="1"/>
        <v>2</v>
      </c>
      <c r="B95" s="33" t="s">
        <v>1386</v>
      </c>
      <c r="C95" s="12" t="s">
        <v>1151</v>
      </c>
      <c r="D95" s="4" t="s">
        <v>587</v>
      </c>
      <c r="E95" s="22" t="s">
        <v>1145</v>
      </c>
      <c r="F95" s="16">
        <v>0</v>
      </c>
      <c r="H95" s="15">
        <f>ROUND((P_2_8.a Qté)*(P_2_8.a PU),2)</f>
        <v>0</v>
      </c>
    </row>
    <row r="96" spans="1:8" ht="12">
      <c r="A96" s="33">
        <f t="shared" si="1"/>
        <v>2</v>
      </c>
      <c r="B96" s="33" t="s">
        <v>1386</v>
      </c>
      <c r="C96" s="12" t="s">
        <v>1150</v>
      </c>
      <c r="D96" s="4" t="s">
        <v>588</v>
      </c>
      <c r="E96" s="22" t="s">
        <v>1145</v>
      </c>
      <c r="F96" s="16">
        <v>0</v>
      </c>
      <c r="H96" s="15">
        <f>ROUND((P_2_8.b Qté)*(P_2_8.b PU),2)</f>
        <v>0</v>
      </c>
    </row>
    <row r="97" spans="1:8" ht="12">
      <c r="A97" s="33">
        <f t="shared" si="1"/>
        <v>2</v>
      </c>
      <c r="B97" s="33" t="s">
        <v>1386</v>
      </c>
      <c r="C97" s="12" t="s">
        <v>1149</v>
      </c>
      <c r="D97" s="4" t="s">
        <v>589</v>
      </c>
      <c r="E97" s="22" t="s">
        <v>1184</v>
      </c>
      <c r="F97" s="16">
        <v>0</v>
      </c>
      <c r="H97" s="15">
        <f>ROUND((P_2_8.c Qté)*(P_2_8.c PU),2)</f>
        <v>0</v>
      </c>
    </row>
    <row r="98" spans="1:8" ht="12">
      <c r="A98" s="33">
        <f t="shared" si="1"/>
        <v>2</v>
      </c>
      <c r="B98" s="33" t="s">
        <v>1386</v>
      </c>
      <c r="C98" s="12" t="s">
        <v>1148</v>
      </c>
      <c r="D98" s="4" t="s">
        <v>590</v>
      </c>
      <c r="E98" s="22" t="s">
        <v>1145</v>
      </c>
      <c r="F98" s="16">
        <v>0</v>
      </c>
      <c r="H98" s="15">
        <f>ROUND((P_2_8.d Qté)*(P_2_8.d PU),2)</f>
        <v>0</v>
      </c>
    </row>
    <row r="99" spans="1:8" ht="36">
      <c r="A99" s="33">
        <f t="shared" si="1"/>
        <v>2</v>
      </c>
      <c r="B99" s="33" t="s">
        <v>1386</v>
      </c>
      <c r="C99" s="12" t="s">
        <v>1146</v>
      </c>
      <c r="D99" s="4" t="s">
        <v>1510</v>
      </c>
      <c r="E99" s="52" t="s">
        <v>1147</v>
      </c>
      <c r="F99" s="16">
        <v>0</v>
      </c>
      <c r="H99" s="15">
        <f>ROUND((P_2_8.d.1 Qté)*(P_2_8.d.1 PU),2)</f>
        <v>0</v>
      </c>
    </row>
    <row r="100" spans="1:8" s="43" customFormat="1" ht="12">
      <c r="A100" s="42">
        <f t="shared" si="1"/>
        <v>2</v>
      </c>
      <c r="B100" s="42" t="s">
        <v>1385</v>
      </c>
      <c r="C100" s="13" t="s">
        <v>1127</v>
      </c>
      <c r="D100" s="10" t="s">
        <v>1201</v>
      </c>
      <c r="E100" s="27" t="s">
        <v>1127</v>
      </c>
      <c r="F100" s="20"/>
      <c r="G100" s="20"/>
      <c r="H100" s="15"/>
    </row>
    <row r="101" spans="1:8" s="43" customFormat="1" ht="12">
      <c r="A101" s="42">
        <f t="shared" si="1"/>
        <v>2</v>
      </c>
      <c r="B101" s="42" t="s">
        <v>1385</v>
      </c>
      <c r="C101" s="13" t="s">
        <v>1127</v>
      </c>
      <c r="D101" s="10" t="s">
        <v>1202</v>
      </c>
      <c r="E101" s="27" t="s">
        <v>1127</v>
      </c>
      <c r="F101" s="20"/>
      <c r="G101" s="20"/>
      <c r="H101" s="15"/>
    </row>
    <row r="102" spans="1:8" s="43" customFormat="1" ht="12">
      <c r="A102" s="42">
        <f t="shared" si="1"/>
        <v>2</v>
      </c>
      <c r="B102" s="42" t="s">
        <v>1385</v>
      </c>
      <c r="C102" s="13" t="s">
        <v>1127</v>
      </c>
      <c r="D102" s="10" t="s">
        <v>1203</v>
      </c>
      <c r="E102" s="27" t="s">
        <v>1127</v>
      </c>
      <c r="F102" s="20"/>
      <c r="G102" s="20"/>
      <c r="H102" s="15"/>
    </row>
    <row r="103" spans="1:8" s="43" customFormat="1" ht="12">
      <c r="A103" s="42">
        <f t="shared" si="1"/>
        <v>2</v>
      </c>
      <c r="B103" s="42" t="s">
        <v>1385</v>
      </c>
      <c r="C103" s="13" t="s">
        <v>914</v>
      </c>
      <c r="D103" s="10" t="s">
        <v>1204</v>
      </c>
      <c r="E103" s="27" t="s">
        <v>1127</v>
      </c>
      <c r="F103" s="20"/>
      <c r="G103" s="20"/>
      <c r="H103" s="15"/>
    </row>
    <row r="104" spans="1:8" s="43" customFormat="1" ht="12">
      <c r="A104" s="42">
        <f t="shared" si="1"/>
        <v>2</v>
      </c>
      <c r="B104" s="42" t="s">
        <v>1385</v>
      </c>
      <c r="C104" s="13" t="s">
        <v>1127</v>
      </c>
      <c r="D104" s="10" t="s">
        <v>1205</v>
      </c>
      <c r="E104" s="27" t="s">
        <v>1127</v>
      </c>
      <c r="F104" s="20"/>
      <c r="G104" s="20"/>
      <c r="H104" s="15"/>
    </row>
    <row r="105" spans="1:8" s="43" customFormat="1" ht="12">
      <c r="A105" s="42">
        <f t="shared" si="1"/>
        <v>2</v>
      </c>
      <c r="B105" s="42" t="s">
        <v>1385</v>
      </c>
      <c r="C105" s="13" t="s">
        <v>1127</v>
      </c>
      <c r="D105" s="10" t="s">
        <v>1859</v>
      </c>
      <c r="E105" s="27" t="s">
        <v>1127</v>
      </c>
      <c r="F105" s="20"/>
      <c r="G105" s="20"/>
      <c r="H105" s="15"/>
    </row>
    <row r="106" spans="1:8" s="43" customFormat="1" ht="12">
      <c r="A106" s="42">
        <f t="shared" si="1"/>
        <v>2</v>
      </c>
      <c r="B106" s="42" t="s">
        <v>1385</v>
      </c>
      <c r="C106" s="13" t="s">
        <v>1127</v>
      </c>
      <c r="D106" s="14" t="s">
        <v>591</v>
      </c>
      <c r="E106" s="27" t="s">
        <v>1127</v>
      </c>
      <c r="F106" s="20"/>
      <c r="G106" s="20"/>
      <c r="H106" s="15"/>
    </row>
    <row r="107" spans="1:8" s="43" customFormat="1" ht="12">
      <c r="A107" s="42">
        <f t="shared" si="1"/>
        <v>2</v>
      </c>
      <c r="B107" s="42" t="s">
        <v>1385</v>
      </c>
      <c r="C107" s="13" t="s">
        <v>1127</v>
      </c>
      <c r="D107" s="14" t="s">
        <v>592</v>
      </c>
      <c r="E107" s="27" t="s">
        <v>1127</v>
      </c>
      <c r="F107" s="20"/>
      <c r="G107" s="20"/>
      <c r="H107" s="15"/>
    </row>
    <row r="108" spans="1:8" s="43" customFormat="1" ht="12">
      <c r="A108" s="42">
        <f t="shared" si="1"/>
        <v>2</v>
      </c>
      <c r="B108" s="42" t="s">
        <v>1385</v>
      </c>
      <c r="C108" s="13" t="s">
        <v>1127</v>
      </c>
      <c r="D108" s="14" t="s">
        <v>593</v>
      </c>
      <c r="E108" s="27" t="s">
        <v>1127</v>
      </c>
      <c r="F108" s="20"/>
      <c r="G108" s="20"/>
      <c r="H108" s="15"/>
    </row>
    <row r="109" spans="1:8" ht="24">
      <c r="A109" s="33">
        <f t="shared" si="1"/>
        <v>2</v>
      </c>
      <c r="B109" s="33" t="s">
        <v>1386</v>
      </c>
      <c r="C109" s="12" t="s">
        <v>1517</v>
      </c>
      <c r="D109" s="4" t="s">
        <v>594</v>
      </c>
      <c r="E109" s="22" t="s">
        <v>789</v>
      </c>
      <c r="F109" s="16">
        <v>0</v>
      </c>
      <c r="H109" s="15">
        <f>ROUND((P_2_9.a Qté)*(P_2_9.a PU),2)</f>
        <v>0</v>
      </c>
    </row>
    <row r="110" spans="1:8" ht="24">
      <c r="A110" s="33">
        <f t="shared" si="1"/>
        <v>2</v>
      </c>
      <c r="B110" s="33" t="s">
        <v>1386</v>
      </c>
      <c r="C110" s="12" t="s">
        <v>1518</v>
      </c>
      <c r="D110" s="4" t="s">
        <v>595</v>
      </c>
      <c r="E110" s="22" t="s">
        <v>789</v>
      </c>
      <c r="F110" s="16">
        <v>0</v>
      </c>
      <c r="H110" s="15">
        <f>ROUND((P_2_9.b Qté)*(P_2_9.b PU),2)</f>
        <v>0</v>
      </c>
    </row>
    <row r="111" spans="1:8" ht="12">
      <c r="A111" s="33">
        <f t="shared" si="1"/>
        <v>2</v>
      </c>
      <c r="B111" s="33" t="s">
        <v>1386</v>
      </c>
      <c r="C111" s="12" t="s">
        <v>1519</v>
      </c>
      <c r="D111" s="4" t="s">
        <v>596</v>
      </c>
      <c r="E111" s="22" t="s">
        <v>789</v>
      </c>
      <c r="F111" s="16">
        <v>0</v>
      </c>
      <c r="H111" s="15">
        <f>ROUND((P_2_9.c Qté)*(P_2_9.c PU),2)</f>
        <v>0</v>
      </c>
    </row>
    <row r="112" spans="1:8" ht="12">
      <c r="A112" s="33">
        <f t="shared" si="1"/>
        <v>2</v>
      </c>
      <c r="B112" s="33" t="s">
        <v>1386</v>
      </c>
      <c r="C112" s="12" t="s">
        <v>1520</v>
      </c>
      <c r="D112" s="4" t="s">
        <v>597</v>
      </c>
      <c r="E112" s="22" t="s">
        <v>789</v>
      </c>
      <c r="F112" s="16">
        <v>0</v>
      </c>
      <c r="H112" s="15">
        <f>ROUND((P_2_9.d Qté)*(P_2_9.d PU),2)</f>
        <v>0</v>
      </c>
    </row>
    <row r="113" spans="1:8" ht="24">
      <c r="A113" s="33">
        <f t="shared" si="1"/>
        <v>2</v>
      </c>
      <c r="B113" s="33" t="s">
        <v>1386</v>
      </c>
      <c r="C113" s="12" t="s">
        <v>1521</v>
      </c>
      <c r="D113" s="4" t="s">
        <v>598</v>
      </c>
      <c r="E113" s="22" t="s">
        <v>789</v>
      </c>
      <c r="F113" s="16">
        <v>0</v>
      </c>
      <c r="H113" s="15">
        <f>ROUND((P_2_9.e Qté)*(P_2_9.e PU),2)</f>
        <v>0</v>
      </c>
    </row>
    <row r="114" spans="1:8" ht="12">
      <c r="A114" s="33">
        <f t="shared" si="1"/>
        <v>2</v>
      </c>
      <c r="B114" s="33" t="s">
        <v>1386</v>
      </c>
      <c r="C114" s="12" t="s">
        <v>1522</v>
      </c>
      <c r="D114" s="4" t="s">
        <v>599</v>
      </c>
      <c r="E114" s="22" t="s">
        <v>789</v>
      </c>
      <c r="F114" s="16">
        <v>0</v>
      </c>
      <c r="H114" s="15">
        <f>ROUND((P_2_9.f Qté)*(P_2_9.f PU),2)</f>
        <v>0</v>
      </c>
    </row>
    <row r="115" spans="1:8" ht="12">
      <c r="A115" s="33">
        <f t="shared" si="1"/>
        <v>2</v>
      </c>
      <c r="B115" s="33" t="s">
        <v>1386</v>
      </c>
      <c r="C115" s="12" t="s">
        <v>1523</v>
      </c>
      <c r="D115" s="4" t="s">
        <v>600</v>
      </c>
      <c r="E115" s="22" t="s">
        <v>789</v>
      </c>
      <c r="F115" s="16">
        <v>0</v>
      </c>
      <c r="H115" s="15">
        <f>ROUND((P_2_9.g Qté)*(P_2_9.g PU),2)</f>
        <v>0</v>
      </c>
    </row>
    <row r="116" spans="1:8" ht="24">
      <c r="A116" s="33">
        <f t="shared" si="1"/>
        <v>2</v>
      </c>
      <c r="B116" s="33" t="s">
        <v>1386</v>
      </c>
      <c r="C116" s="12" t="s">
        <v>1524</v>
      </c>
      <c r="D116" s="4" t="s">
        <v>601</v>
      </c>
      <c r="E116" s="22" t="s">
        <v>790</v>
      </c>
      <c r="F116" s="16">
        <v>0</v>
      </c>
      <c r="H116" s="15">
        <f>ROUND((P_2_9.h Qté)*(P_2_9.h PU),2)</f>
        <v>0</v>
      </c>
    </row>
    <row r="117" spans="1:8" ht="24">
      <c r="A117" s="33">
        <f t="shared" si="1"/>
        <v>2</v>
      </c>
      <c r="B117" s="33" t="s">
        <v>1386</v>
      </c>
      <c r="C117" s="12" t="s">
        <v>1525</v>
      </c>
      <c r="D117" s="4" t="s">
        <v>602</v>
      </c>
      <c r="E117" s="22" t="s">
        <v>790</v>
      </c>
      <c r="F117" s="16">
        <v>0</v>
      </c>
      <c r="H117" s="15">
        <f>ROUND((P_2_9.i Qté)*(P_2_9.i PU),2)</f>
        <v>0</v>
      </c>
    </row>
    <row r="118" spans="1:8" ht="24">
      <c r="A118" s="33">
        <f t="shared" si="1"/>
        <v>2</v>
      </c>
      <c r="B118" s="33" t="s">
        <v>1386</v>
      </c>
      <c r="C118" s="12" t="s">
        <v>1526</v>
      </c>
      <c r="D118" s="4" t="s">
        <v>603</v>
      </c>
      <c r="E118" s="22" t="s">
        <v>789</v>
      </c>
      <c r="F118" s="16">
        <v>0</v>
      </c>
      <c r="H118" s="15">
        <f>ROUND((P_2_9.j Qté)*(P_2_9.j PU),2)</f>
        <v>0</v>
      </c>
    </row>
    <row r="119" spans="1:8" ht="24">
      <c r="A119" s="33">
        <f t="shared" si="1"/>
        <v>2</v>
      </c>
      <c r="B119" s="33" t="s">
        <v>1386</v>
      </c>
      <c r="C119" s="12" t="s">
        <v>1527</v>
      </c>
      <c r="D119" s="4" t="s">
        <v>604</v>
      </c>
      <c r="E119" s="22" t="s">
        <v>789</v>
      </c>
      <c r="F119" s="16">
        <v>0</v>
      </c>
      <c r="H119" s="15">
        <f>ROUND((P_2_9.k Qté)*(P_2_9.k PU),2)</f>
        <v>0</v>
      </c>
    </row>
    <row r="120" spans="1:8" ht="36">
      <c r="A120" s="33">
        <f t="shared" si="1"/>
        <v>2</v>
      </c>
      <c r="B120" s="33" t="s">
        <v>1386</v>
      </c>
      <c r="C120" s="12" t="s">
        <v>1528</v>
      </c>
      <c r="D120" s="4" t="s">
        <v>605</v>
      </c>
      <c r="E120" s="22" t="s">
        <v>789</v>
      </c>
      <c r="F120" s="16">
        <v>0</v>
      </c>
      <c r="H120" s="15">
        <f>ROUND((P_2_9.l Qté)*(P_2_9.l PU),2)</f>
        <v>0</v>
      </c>
    </row>
    <row r="121" spans="1:8" s="43" customFormat="1" ht="12">
      <c r="A121" s="42">
        <f t="shared" si="1"/>
        <v>2</v>
      </c>
      <c r="B121" s="42" t="s">
        <v>1385</v>
      </c>
      <c r="C121" s="13" t="s">
        <v>915</v>
      </c>
      <c r="D121" s="10" t="s">
        <v>1207</v>
      </c>
      <c r="E121" s="27" t="s">
        <v>1127</v>
      </c>
      <c r="F121" s="20"/>
      <c r="G121" s="20"/>
      <c r="H121" s="15"/>
    </row>
    <row r="122" spans="1:8" s="43" customFormat="1" ht="24">
      <c r="A122" s="42">
        <f t="shared" si="1"/>
        <v>2</v>
      </c>
      <c r="B122" s="42" t="s">
        <v>1385</v>
      </c>
      <c r="C122" s="13" t="s">
        <v>1127</v>
      </c>
      <c r="D122" s="10" t="s">
        <v>1208</v>
      </c>
      <c r="E122" s="27" t="s">
        <v>1127</v>
      </c>
      <c r="F122" s="20"/>
      <c r="G122" s="20"/>
      <c r="H122" s="15"/>
    </row>
    <row r="123" spans="1:8" s="43" customFormat="1" ht="12">
      <c r="A123" s="42">
        <f t="shared" si="1"/>
        <v>2</v>
      </c>
      <c r="B123" s="42" t="s">
        <v>1385</v>
      </c>
      <c r="C123" s="13" t="s">
        <v>1127</v>
      </c>
      <c r="D123" s="10" t="s">
        <v>1209</v>
      </c>
      <c r="E123" s="27" t="s">
        <v>1127</v>
      </c>
      <c r="F123" s="20"/>
      <c r="G123" s="20"/>
      <c r="H123" s="15"/>
    </row>
    <row r="124" spans="1:8" s="43" customFormat="1" ht="12">
      <c r="A124" s="42">
        <f t="shared" si="1"/>
        <v>2</v>
      </c>
      <c r="B124" s="42" t="s">
        <v>1385</v>
      </c>
      <c r="C124" s="13" t="s">
        <v>1127</v>
      </c>
      <c r="D124" s="14" t="s">
        <v>606</v>
      </c>
      <c r="E124" s="27" t="s">
        <v>1127</v>
      </c>
      <c r="F124" s="20"/>
      <c r="G124" s="20"/>
      <c r="H124" s="15"/>
    </row>
    <row r="125" spans="1:8" s="43" customFormat="1" ht="12">
      <c r="A125" s="42">
        <f t="shared" si="1"/>
        <v>2</v>
      </c>
      <c r="B125" s="42" t="s">
        <v>1385</v>
      </c>
      <c r="C125" s="13" t="s">
        <v>1127</v>
      </c>
      <c r="D125" s="14" t="s">
        <v>607</v>
      </c>
      <c r="E125" s="27" t="s">
        <v>1127</v>
      </c>
      <c r="F125" s="20"/>
      <c r="G125" s="20"/>
      <c r="H125" s="15"/>
    </row>
    <row r="126" spans="1:8" s="43" customFormat="1" ht="12">
      <c r="A126" s="42">
        <f t="shared" si="1"/>
        <v>2</v>
      </c>
      <c r="B126" s="42" t="s">
        <v>1385</v>
      </c>
      <c r="C126" s="13" t="s">
        <v>1127</v>
      </c>
      <c r="D126" s="14" t="s">
        <v>608</v>
      </c>
      <c r="E126" s="27" t="s">
        <v>1127</v>
      </c>
      <c r="F126" s="20"/>
      <c r="G126" s="20"/>
      <c r="H126" s="15"/>
    </row>
    <row r="127" spans="1:8" s="43" customFormat="1" ht="12">
      <c r="A127" s="42">
        <f t="shared" si="1"/>
        <v>2</v>
      </c>
      <c r="B127" s="42" t="s">
        <v>1385</v>
      </c>
      <c r="C127" s="13" t="s">
        <v>1127</v>
      </c>
      <c r="D127" s="14" t="s">
        <v>609</v>
      </c>
      <c r="E127" s="27" t="s">
        <v>1127</v>
      </c>
      <c r="F127" s="20"/>
      <c r="G127" s="20"/>
      <c r="H127" s="15"/>
    </row>
    <row r="128" spans="1:8" s="43" customFormat="1" ht="12">
      <c r="A128" s="42">
        <f t="shared" si="1"/>
        <v>2</v>
      </c>
      <c r="B128" s="42" t="s">
        <v>1385</v>
      </c>
      <c r="C128" s="13" t="s">
        <v>1127</v>
      </c>
      <c r="D128" s="14" t="s">
        <v>593</v>
      </c>
      <c r="E128" s="27" t="s">
        <v>1127</v>
      </c>
      <c r="F128" s="20"/>
      <c r="G128" s="20"/>
      <c r="H128" s="15"/>
    </row>
    <row r="129" spans="1:8" ht="24">
      <c r="A129" s="33">
        <f t="shared" si="1"/>
        <v>2</v>
      </c>
      <c r="B129" s="33" t="s">
        <v>1386</v>
      </c>
      <c r="C129" s="12" t="s">
        <v>1529</v>
      </c>
      <c r="D129" s="4" t="s">
        <v>610</v>
      </c>
      <c r="E129" s="22" t="s">
        <v>790</v>
      </c>
      <c r="F129" s="16">
        <v>0</v>
      </c>
      <c r="H129" s="15">
        <f>ROUND((P_2_10.a Qté)*(P_2_10.a PU),2)</f>
        <v>0</v>
      </c>
    </row>
    <row r="130" spans="1:8" ht="12">
      <c r="A130" s="33">
        <f t="shared" si="1"/>
        <v>2</v>
      </c>
      <c r="B130" s="33" t="s">
        <v>1386</v>
      </c>
      <c r="C130" s="12" t="s">
        <v>1530</v>
      </c>
      <c r="D130" s="4" t="s">
        <v>611</v>
      </c>
      <c r="E130" s="22" t="s">
        <v>790</v>
      </c>
      <c r="F130" s="16">
        <v>0</v>
      </c>
      <c r="H130" s="15">
        <f>ROUND((P_2_10.b Qté)*(P_2_10.b PU),2)</f>
        <v>0</v>
      </c>
    </row>
    <row r="131" spans="1:8" ht="12">
      <c r="A131" s="33">
        <f t="shared" si="1"/>
        <v>2</v>
      </c>
      <c r="B131" s="33" t="s">
        <v>1386</v>
      </c>
      <c r="C131" s="12" t="s">
        <v>1531</v>
      </c>
      <c r="D131" s="4" t="s">
        <v>612</v>
      </c>
      <c r="E131" s="22" t="s">
        <v>790</v>
      </c>
      <c r="F131" s="16">
        <v>0</v>
      </c>
      <c r="H131" s="15">
        <f>ROUND((P_2_10.c Qté)*(P_2_10.c PU),2)</f>
        <v>0</v>
      </c>
    </row>
    <row r="132" spans="1:8" ht="12">
      <c r="A132" s="33">
        <f t="shared" si="1"/>
        <v>2</v>
      </c>
      <c r="B132" s="33" t="s">
        <v>1386</v>
      </c>
      <c r="C132" s="12" t="s">
        <v>1532</v>
      </c>
      <c r="D132" s="4" t="s">
        <v>613</v>
      </c>
      <c r="E132" s="22" t="s">
        <v>790</v>
      </c>
      <c r="F132" s="16">
        <v>0</v>
      </c>
      <c r="H132" s="15">
        <f>ROUND((P_2_10.d Qté)*(P_2_10.d PU),2)</f>
        <v>0</v>
      </c>
    </row>
    <row r="133" spans="1:8" ht="12">
      <c r="A133" s="33">
        <f aca="true" t="shared" si="2" ref="A133:A196">A132</f>
        <v>2</v>
      </c>
      <c r="B133" s="33" t="s">
        <v>1386</v>
      </c>
      <c r="C133" s="12" t="s">
        <v>1533</v>
      </c>
      <c r="D133" s="4" t="s">
        <v>614</v>
      </c>
      <c r="E133" s="22" t="s">
        <v>790</v>
      </c>
      <c r="F133" s="16">
        <v>0</v>
      </c>
      <c r="H133" s="15">
        <f>ROUND((P_2_10.e Qté)*(P_2_10.e PU),2)</f>
        <v>0</v>
      </c>
    </row>
    <row r="134" spans="1:8" ht="12">
      <c r="A134" s="33">
        <f t="shared" si="2"/>
        <v>2</v>
      </c>
      <c r="B134" s="33" t="s">
        <v>1386</v>
      </c>
      <c r="C134" s="12" t="s">
        <v>1534</v>
      </c>
      <c r="D134" s="4" t="s">
        <v>615</v>
      </c>
      <c r="E134" s="22" t="s">
        <v>790</v>
      </c>
      <c r="F134" s="16">
        <v>0</v>
      </c>
      <c r="H134" s="15">
        <f>ROUND((P_2_10.f Qté)*(P_2_10.f PU),2)</f>
        <v>0</v>
      </c>
    </row>
    <row r="135" spans="1:8" ht="12">
      <c r="A135" s="33">
        <f t="shared" si="2"/>
        <v>2</v>
      </c>
      <c r="B135" s="33" t="s">
        <v>1386</v>
      </c>
      <c r="C135" s="12" t="s">
        <v>1535</v>
      </c>
      <c r="D135" s="4" t="s">
        <v>616</v>
      </c>
      <c r="E135" s="22" t="s">
        <v>790</v>
      </c>
      <c r="F135" s="16">
        <v>0</v>
      </c>
      <c r="H135" s="15">
        <f>ROUND((P_2_10.g Qté)*(P_2_10.g PU),2)</f>
        <v>0</v>
      </c>
    </row>
    <row r="136" spans="1:8" ht="12">
      <c r="A136" s="33">
        <f t="shared" si="2"/>
        <v>2</v>
      </c>
      <c r="B136" s="33" t="s">
        <v>1386</v>
      </c>
      <c r="C136" s="12" t="s">
        <v>1536</v>
      </c>
      <c r="D136" s="4" t="s">
        <v>617</v>
      </c>
      <c r="E136" s="22" t="s">
        <v>790</v>
      </c>
      <c r="F136" s="16">
        <v>0</v>
      </c>
      <c r="H136" s="15">
        <f>ROUND((P_2_10.h Qté)*(P_2_10.h PU),2)</f>
        <v>0</v>
      </c>
    </row>
    <row r="137" spans="1:8" ht="12">
      <c r="A137" s="33">
        <f t="shared" si="2"/>
        <v>2</v>
      </c>
      <c r="B137" s="33" t="s">
        <v>1386</v>
      </c>
      <c r="C137" s="12" t="s">
        <v>1537</v>
      </c>
      <c r="D137" s="4" t="s">
        <v>618</v>
      </c>
      <c r="E137" s="22" t="s">
        <v>790</v>
      </c>
      <c r="F137" s="16">
        <v>0</v>
      </c>
      <c r="H137" s="15">
        <f>ROUND((P_2_10.i Qté)*(P_2_10.i PU),2)</f>
        <v>0</v>
      </c>
    </row>
    <row r="138" spans="1:8" ht="12">
      <c r="A138" s="33">
        <f t="shared" si="2"/>
        <v>2</v>
      </c>
      <c r="B138" s="33" t="s">
        <v>1386</v>
      </c>
      <c r="C138" s="12" t="s">
        <v>1538</v>
      </c>
      <c r="D138" s="4" t="s">
        <v>619</v>
      </c>
      <c r="E138" s="22" t="s">
        <v>790</v>
      </c>
      <c r="F138" s="16">
        <v>0</v>
      </c>
      <c r="H138" s="15">
        <f>ROUND((P_2_10.j Qté)*(P_2_10.j PU),2)</f>
        <v>0</v>
      </c>
    </row>
    <row r="139" spans="1:8" ht="12">
      <c r="A139" s="33">
        <f t="shared" si="2"/>
        <v>2</v>
      </c>
      <c r="B139" s="33" t="s">
        <v>1386</v>
      </c>
      <c r="C139" s="12" t="s">
        <v>1539</v>
      </c>
      <c r="D139" s="4" t="s">
        <v>620</v>
      </c>
      <c r="E139" s="22" t="s">
        <v>790</v>
      </c>
      <c r="F139" s="16">
        <v>0</v>
      </c>
      <c r="H139" s="15">
        <f>ROUND((P_2_10.k Qté)*(P_2_10.k PU),2)</f>
        <v>0</v>
      </c>
    </row>
    <row r="140" spans="1:8" s="43" customFormat="1" ht="24">
      <c r="A140" s="42">
        <f t="shared" si="2"/>
        <v>2</v>
      </c>
      <c r="B140" s="42" t="s">
        <v>1385</v>
      </c>
      <c r="C140" s="13" t="s">
        <v>916</v>
      </c>
      <c r="D140" s="10" t="s">
        <v>1210</v>
      </c>
      <c r="E140" s="27" t="s">
        <v>1127</v>
      </c>
      <c r="F140" s="20"/>
      <c r="G140" s="20"/>
      <c r="H140" s="15"/>
    </row>
    <row r="141" spans="1:8" s="43" customFormat="1" ht="12">
      <c r="A141" s="42">
        <f t="shared" si="2"/>
        <v>2</v>
      </c>
      <c r="B141" s="42" t="s">
        <v>1385</v>
      </c>
      <c r="C141" s="13" t="s">
        <v>1127</v>
      </c>
      <c r="D141" s="10" t="s">
        <v>1209</v>
      </c>
      <c r="E141" s="27" t="s">
        <v>1127</v>
      </c>
      <c r="F141" s="20"/>
      <c r="G141" s="20"/>
      <c r="H141" s="15"/>
    </row>
    <row r="142" spans="1:8" s="43" customFormat="1" ht="12">
      <c r="A142" s="42">
        <f t="shared" si="2"/>
        <v>2</v>
      </c>
      <c r="B142" s="42" t="s">
        <v>1385</v>
      </c>
      <c r="C142" s="13" t="s">
        <v>1127</v>
      </c>
      <c r="D142" s="14" t="s">
        <v>606</v>
      </c>
      <c r="E142" s="27" t="s">
        <v>1127</v>
      </c>
      <c r="F142" s="20"/>
      <c r="G142" s="20"/>
      <c r="H142" s="15"/>
    </row>
    <row r="143" spans="1:8" s="43" customFormat="1" ht="12">
      <c r="A143" s="42">
        <f t="shared" si="2"/>
        <v>2</v>
      </c>
      <c r="B143" s="42" t="s">
        <v>1385</v>
      </c>
      <c r="C143" s="13" t="s">
        <v>1127</v>
      </c>
      <c r="D143" s="14" t="s">
        <v>607</v>
      </c>
      <c r="E143" s="27" t="s">
        <v>1127</v>
      </c>
      <c r="F143" s="20"/>
      <c r="G143" s="20"/>
      <c r="H143" s="15"/>
    </row>
    <row r="144" spans="1:8" s="43" customFormat="1" ht="12">
      <c r="A144" s="42">
        <f t="shared" si="2"/>
        <v>2</v>
      </c>
      <c r="B144" s="42" t="s">
        <v>1385</v>
      </c>
      <c r="C144" s="13" t="s">
        <v>1127</v>
      </c>
      <c r="D144" s="14" t="s">
        <v>608</v>
      </c>
      <c r="E144" s="27" t="s">
        <v>1127</v>
      </c>
      <c r="F144" s="20"/>
      <c r="G144" s="20"/>
      <c r="H144" s="15"/>
    </row>
    <row r="145" spans="1:8" s="43" customFormat="1" ht="12">
      <c r="A145" s="42">
        <f t="shared" si="2"/>
        <v>2</v>
      </c>
      <c r="B145" s="42" t="s">
        <v>1385</v>
      </c>
      <c r="C145" s="13" t="s">
        <v>1127</v>
      </c>
      <c r="D145" s="14" t="s">
        <v>609</v>
      </c>
      <c r="E145" s="27" t="s">
        <v>1127</v>
      </c>
      <c r="F145" s="20"/>
      <c r="G145" s="20"/>
      <c r="H145" s="15"/>
    </row>
    <row r="146" spans="1:8" s="43" customFormat="1" ht="12">
      <c r="A146" s="42">
        <f t="shared" si="2"/>
        <v>2</v>
      </c>
      <c r="B146" s="42" t="s">
        <v>1385</v>
      </c>
      <c r="C146" s="13" t="s">
        <v>1127</v>
      </c>
      <c r="D146" s="14" t="s">
        <v>593</v>
      </c>
      <c r="E146" s="27" t="s">
        <v>1127</v>
      </c>
      <c r="F146" s="20"/>
      <c r="G146" s="20"/>
      <c r="H146" s="15"/>
    </row>
    <row r="147" spans="1:8" ht="12">
      <c r="A147" s="33">
        <f t="shared" si="2"/>
        <v>2</v>
      </c>
      <c r="B147" s="33" t="s">
        <v>1386</v>
      </c>
      <c r="C147" s="12" t="s">
        <v>1540</v>
      </c>
      <c r="D147" s="4" t="s">
        <v>621</v>
      </c>
      <c r="E147" s="22" t="s">
        <v>790</v>
      </c>
      <c r="F147" s="16">
        <v>0</v>
      </c>
      <c r="H147" s="15">
        <f>ROUND((P_2_11.a Qté)*(P_2_11.a PU),2)</f>
        <v>0</v>
      </c>
    </row>
    <row r="148" spans="1:8" ht="36">
      <c r="A148" s="33">
        <f t="shared" si="2"/>
        <v>2</v>
      </c>
      <c r="B148" s="33" t="s">
        <v>1386</v>
      </c>
      <c r="C148" s="12" t="s">
        <v>1541</v>
      </c>
      <c r="D148" s="4" t="s">
        <v>622</v>
      </c>
      <c r="E148" s="22" t="s">
        <v>790</v>
      </c>
      <c r="F148" s="16">
        <v>0</v>
      </c>
      <c r="H148" s="15">
        <f>ROUND((P_2_11.b Qté)*(P_2_11.b PU),2)</f>
        <v>0</v>
      </c>
    </row>
    <row r="149" spans="1:8" ht="36">
      <c r="A149" s="33">
        <f t="shared" si="2"/>
        <v>2</v>
      </c>
      <c r="B149" s="33" t="s">
        <v>1386</v>
      </c>
      <c r="C149" s="12" t="s">
        <v>1542</v>
      </c>
      <c r="D149" s="4" t="s">
        <v>623</v>
      </c>
      <c r="E149" s="22" t="s">
        <v>790</v>
      </c>
      <c r="F149" s="16">
        <v>0</v>
      </c>
      <c r="H149" s="15">
        <f>ROUND((P_2_11.c Qté)*(P_2_11.c PU),2)</f>
        <v>0</v>
      </c>
    </row>
    <row r="150" spans="1:8" ht="12">
      <c r="A150" s="33">
        <f t="shared" si="2"/>
        <v>2</v>
      </c>
      <c r="B150" s="33" t="s">
        <v>1386</v>
      </c>
      <c r="C150" s="12" t="s">
        <v>1543</v>
      </c>
      <c r="D150" s="4" t="s">
        <v>624</v>
      </c>
      <c r="E150" s="22" t="s">
        <v>790</v>
      </c>
      <c r="F150" s="16">
        <v>0</v>
      </c>
      <c r="H150" s="15">
        <f>ROUND((P_2_11.d Qté)*(P_2_11.d PU),2)</f>
        <v>0</v>
      </c>
    </row>
    <row r="151" spans="1:8" ht="24">
      <c r="A151" s="33">
        <f t="shared" si="2"/>
        <v>2</v>
      </c>
      <c r="B151" s="33" t="s">
        <v>1386</v>
      </c>
      <c r="C151" s="12" t="s">
        <v>1544</v>
      </c>
      <c r="D151" s="4" t="s">
        <v>625</v>
      </c>
      <c r="E151" s="22" t="s">
        <v>790</v>
      </c>
      <c r="F151" s="16">
        <v>0</v>
      </c>
      <c r="H151" s="15">
        <f>ROUND((P_2_11.e Qté)*(P_2_11.e PU),2)</f>
        <v>0</v>
      </c>
    </row>
    <row r="152" spans="1:8" ht="36">
      <c r="A152" s="33">
        <f t="shared" si="2"/>
        <v>2</v>
      </c>
      <c r="B152" s="33" t="s">
        <v>1386</v>
      </c>
      <c r="C152" s="12" t="s">
        <v>1545</v>
      </c>
      <c r="D152" s="4" t="s">
        <v>626</v>
      </c>
      <c r="E152" s="22" t="s">
        <v>790</v>
      </c>
      <c r="F152" s="16">
        <v>0</v>
      </c>
      <c r="H152" s="15">
        <f>ROUND((P_2_11.f Qté)*(P_2_11.f PU),2)</f>
        <v>0</v>
      </c>
    </row>
    <row r="153" spans="1:8" s="43" customFormat="1" ht="24">
      <c r="A153" s="42">
        <f t="shared" si="2"/>
        <v>2</v>
      </c>
      <c r="B153" s="42" t="s">
        <v>1385</v>
      </c>
      <c r="C153" s="13" t="s">
        <v>917</v>
      </c>
      <c r="D153" s="10" t="s">
        <v>1211</v>
      </c>
      <c r="E153" s="27" t="s">
        <v>1127</v>
      </c>
      <c r="F153" s="20"/>
      <c r="G153" s="20"/>
      <c r="H153" s="15"/>
    </row>
    <row r="154" spans="1:8" s="43" customFormat="1" ht="12">
      <c r="A154" s="42">
        <f t="shared" si="2"/>
        <v>2</v>
      </c>
      <c r="B154" s="42" t="s">
        <v>1385</v>
      </c>
      <c r="C154" s="13" t="s">
        <v>1127</v>
      </c>
      <c r="D154" s="10" t="s">
        <v>1212</v>
      </c>
      <c r="E154" s="27" t="s">
        <v>1127</v>
      </c>
      <c r="F154" s="20"/>
      <c r="G154" s="20"/>
      <c r="H154" s="15"/>
    </row>
    <row r="155" spans="1:8" s="43" customFormat="1" ht="12">
      <c r="A155" s="42">
        <f t="shared" si="2"/>
        <v>2</v>
      </c>
      <c r="B155" s="42" t="s">
        <v>1385</v>
      </c>
      <c r="C155" s="13" t="s">
        <v>1127</v>
      </c>
      <c r="D155" s="14" t="s">
        <v>606</v>
      </c>
      <c r="E155" s="27" t="s">
        <v>1127</v>
      </c>
      <c r="F155" s="20"/>
      <c r="G155" s="20"/>
      <c r="H155" s="15"/>
    </row>
    <row r="156" spans="1:8" s="43" customFormat="1" ht="12">
      <c r="A156" s="42">
        <f t="shared" si="2"/>
        <v>2</v>
      </c>
      <c r="B156" s="42" t="s">
        <v>1385</v>
      </c>
      <c r="C156" s="13" t="s">
        <v>1127</v>
      </c>
      <c r="D156" s="14" t="s">
        <v>607</v>
      </c>
      <c r="E156" s="27" t="s">
        <v>1127</v>
      </c>
      <c r="F156" s="20"/>
      <c r="G156" s="20"/>
      <c r="H156" s="15"/>
    </row>
    <row r="157" spans="1:8" s="43" customFormat="1" ht="12">
      <c r="A157" s="42">
        <f t="shared" si="2"/>
        <v>2</v>
      </c>
      <c r="B157" s="42" t="s">
        <v>1385</v>
      </c>
      <c r="C157" s="13" t="s">
        <v>1127</v>
      </c>
      <c r="D157" s="14" t="s">
        <v>627</v>
      </c>
      <c r="E157" s="27" t="s">
        <v>1127</v>
      </c>
      <c r="F157" s="20"/>
      <c r="G157" s="20"/>
      <c r="H157" s="15"/>
    </row>
    <row r="158" spans="1:8" s="43" customFormat="1" ht="12">
      <c r="A158" s="42">
        <f t="shared" si="2"/>
        <v>2</v>
      </c>
      <c r="B158" s="42" t="s">
        <v>1385</v>
      </c>
      <c r="C158" s="13" t="s">
        <v>1127</v>
      </c>
      <c r="D158" s="14" t="s">
        <v>609</v>
      </c>
      <c r="E158" s="27" t="s">
        <v>1127</v>
      </c>
      <c r="F158" s="20"/>
      <c r="G158" s="20"/>
      <c r="H158" s="15"/>
    </row>
    <row r="159" spans="1:8" s="43" customFormat="1" ht="12">
      <c r="A159" s="42">
        <f t="shared" si="2"/>
        <v>2</v>
      </c>
      <c r="B159" s="42" t="s">
        <v>1385</v>
      </c>
      <c r="C159" s="13" t="s">
        <v>1127</v>
      </c>
      <c r="D159" s="14" t="s">
        <v>593</v>
      </c>
      <c r="E159" s="27" t="s">
        <v>1127</v>
      </c>
      <c r="F159" s="20"/>
      <c r="G159" s="20"/>
      <c r="H159" s="15"/>
    </row>
    <row r="160" spans="1:8" ht="12">
      <c r="A160" s="33">
        <f t="shared" si="2"/>
        <v>2</v>
      </c>
      <c r="B160" s="33" t="s">
        <v>1386</v>
      </c>
      <c r="C160" s="12" t="s">
        <v>1546</v>
      </c>
      <c r="D160" s="4" t="s">
        <v>628</v>
      </c>
      <c r="E160" s="22" t="s">
        <v>792</v>
      </c>
      <c r="F160" s="16">
        <v>0</v>
      </c>
      <c r="H160" s="15">
        <f>ROUND((P_2_12.a Qté)*(P_2_12.a PU),2)</f>
        <v>0</v>
      </c>
    </row>
    <row r="161" spans="1:8" ht="12">
      <c r="A161" s="33">
        <f t="shared" si="2"/>
        <v>2</v>
      </c>
      <c r="B161" s="33" t="s">
        <v>1386</v>
      </c>
      <c r="C161" s="12" t="s">
        <v>1547</v>
      </c>
      <c r="D161" s="4" t="s">
        <v>629</v>
      </c>
      <c r="E161" s="22" t="s">
        <v>792</v>
      </c>
      <c r="F161" s="16">
        <v>0</v>
      </c>
      <c r="H161" s="15">
        <f>ROUND((P_2_12.b Qté)*(P_2_12.b PU),2)</f>
        <v>0</v>
      </c>
    </row>
    <row r="162" spans="1:8" ht="12">
      <c r="A162" s="33">
        <f t="shared" si="2"/>
        <v>2</v>
      </c>
      <c r="B162" s="33" t="s">
        <v>1386</v>
      </c>
      <c r="C162" s="12" t="s">
        <v>1548</v>
      </c>
      <c r="D162" s="4" t="s">
        <v>630</v>
      </c>
      <c r="E162" s="22" t="s">
        <v>792</v>
      </c>
      <c r="F162" s="16">
        <v>0</v>
      </c>
      <c r="H162" s="15">
        <f>ROUND((P_2_12.c Qté)*(P_2_12.c PU),2)</f>
        <v>0</v>
      </c>
    </row>
    <row r="163" spans="1:8" ht="12">
      <c r="A163" s="33">
        <f t="shared" si="2"/>
        <v>2</v>
      </c>
      <c r="B163" s="33" t="s">
        <v>1386</v>
      </c>
      <c r="C163" s="12" t="s">
        <v>1549</v>
      </c>
      <c r="D163" s="4" t="s">
        <v>631</v>
      </c>
      <c r="E163" s="22" t="s">
        <v>792</v>
      </c>
      <c r="F163" s="16">
        <v>0</v>
      </c>
      <c r="H163" s="15">
        <f>ROUND((P_2_12.d Qté)*(P_2_12.d PU),2)</f>
        <v>0</v>
      </c>
    </row>
    <row r="164" spans="1:8" ht="12">
      <c r="A164" s="33">
        <f t="shared" si="2"/>
        <v>2</v>
      </c>
      <c r="B164" s="33" t="s">
        <v>1386</v>
      </c>
      <c r="C164" s="12" t="s">
        <v>1550</v>
      </c>
      <c r="D164" s="4" t="s">
        <v>632</v>
      </c>
      <c r="E164" s="22" t="s">
        <v>792</v>
      </c>
      <c r="F164" s="16">
        <v>0</v>
      </c>
      <c r="H164" s="15">
        <f>ROUND((P_2_12.e Qté)*(P_2_12.e PU),2)</f>
        <v>0</v>
      </c>
    </row>
    <row r="165" spans="1:8" ht="12">
      <c r="A165" s="33">
        <f t="shared" si="2"/>
        <v>2</v>
      </c>
      <c r="B165" s="33" t="s">
        <v>1386</v>
      </c>
      <c r="C165" s="12" t="s">
        <v>1551</v>
      </c>
      <c r="D165" s="4" t="s">
        <v>633</v>
      </c>
      <c r="E165" s="22" t="s">
        <v>792</v>
      </c>
      <c r="F165" s="16">
        <v>0</v>
      </c>
      <c r="H165" s="15">
        <f>ROUND((P_2_12.f Qté)*(P_2_12.f PU),2)</f>
        <v>0</v>
      </c>
    </row>
    <row r="166" spans="1:8" ht="12">
      <c r="A166" s="33">
        <f t="shared" si="2"/>
        <v>2</v>
      </c>
      <c r="B166" s="33" t="s">
        <v>1386</v>
      </c>
      <c r="C166" s="12" t="s">
        <v>1552</v>
      </c>
      <c r="D166" s="4" t="s">
        <v>634</v>
      </c>
      <c r="E166" s="22" t="s">
        <v>792</v>
      </c>
      <c r="F166" s="16">
        <v>0</v>
      </c>
      <c r="H166" s="15">
        <f>ROUND((P_2_12.g Qté)*(P_2_12.g PU),2)</f>
        <v>0</v>
      </c>
    </row>
    <row r="167" spans="1:8" ht="12">
      <c r="A167" s="33">
        <f t="shared" si="2"/>
        <v>2</v>
      </c>
      <c r="B167" s="33" t="s">
        <v>1386</v>
      </c>
      <c r="C167" s="12" t="s">
        <v>1553</v>
      </c>
      <c r="D167" s="4" t="s">
        <v>635</v>
      </c>
      <c r="E167" s="22" t="s">
        <v>792</v>
      </c>
      <c r="F167" s="16">
        <v>0</v>
      </c>
      <c r="H167" s="15">
        <f>ROUND((P_2_12.h Qté)*(P_2_12.h PU),2)</f>
        <v>0</v>
      </c>
    </row>
    <row r="168" spans="1:8" ht="12">
      <c r="A168" s="33">
        <f t="shared" si="2"/>
        <v>2</v>
      </c>
      <c r="B168" s="33" t="s">
        <v>1386</v>
      </c>
      <c r="C168" s="12" t="s">
        <v>1554</v>
      </c>
      <c r="D168" s="4" t="s">
        <v>636</v>
      </c>
      <c r="E168" s="22" t="s">
        <v>792</v>
      </c>
      <c r="F168" s="16">
        <v>0</v>
      </c>
      <c r="H168" s="15">
        <f>ROUND((P_2_12.i Qté)*(P_2_12.i PU),2)</f>
        <v>0</v>
      </c>
    </row>
    <row r="169" spans="1:8" s="43" customFormat="1" ht="24">
      <c r="A169" s="42">
        <f t="shared" si="2"/>
        <v>2</v>
      </c>
      <c r="B169" s="42" t="s">
        <v>1385</v>
      </c>
      <c r="C169" s="13" t="s">
        <v>918</v>
      </c>
      <c r="D169" s="10" t="s">
        <v>1214</v>
      </c>
      <c r="E169" s="27" t="s">
        <v>1127</v>
      </c>
      <c r="F169" s="20"/>
      <c r="G169" s="20"/>
      <c r="H169" s="15"/>
    </row>
    <row r="170" spans="1:8" s="43" customFormat="1" ht="12">
      <c r="A170" s="42">
        <f t="shared" si="2"/>
        <v>2</v>
      </c>
      <c r="B170" s="42" t="s">
        <v>1385</v>
      </c>
      <c r="C170" s="13" t="s">
        <v>1127</v>
      </c>
      <c r="D170" s="10" t="s">
        <v>1215</v>
      </c>
      <c r="E170" s="27" t="s">
        <v>1127</v>
      </c>
      <c r="F170" s="20"/>
      <c r="G170" s="20"/>
      <c r="H170" s="15"/>
    </row>
    <row r="171" spans="1:8" s="43" customFormat="1" ht="12">
      <c r="A171" s="42">
        <f t="shared" si="2"/>
        <v>2</v>
      </c>
      <c r="B171" s="42" t="s">
        <v>1385</v>
      </c>
      <c r="C171" s="13" t="s">
        <v>1127</v>
      </c>
      <c r="D171" s="14" t="s">
        <v>606</v>
      </c>
      <c r="E171" s="27" t="s">
        <v>1127</v>
      </c>
      <c r="F171" s="20"/>
      <c r="G171" s="20"/>
      <c r="H171" s="15"/>
    </row>
    <row r="172" spans="1:8" s="43" customFormat="1" ht="12">
      <c r="A172" s="42">
        <f t="shared" si="2"/>
        <v>2</v>
      </c>
      <c r="B172" s="42" t="s">
        <v>1385</v>
      </c>
      <c r="C172" s="13" t="s">
        <v>1127</v>
      </c>
      <c r="D172" s="14" t="s">
        <v>627</v>
      </c>
      <c r="E172" s="27" t="s">
        <v>1127</v>
      </c>
      <c r="F172" s="20"/>
      <c r="G172" s="20"/>
      <c r="H172" s="15"/>
    </row>
    <row r="173" spans="1:8" s="43" customFormat="1" ht="12">
      <c r="A173" s="42">
        <f t="shared" si="2"/>
        <v>2</v>
      </c>
      <c r="B173" s="42" t="s">
        <v>1385</v>
      </c>
      <c r="C173" s="13" t="s">
        <v>1127</v>
      </c>
      <c r="D173" s="14" t="s">
        <v>609</v>
      </c>
      <c r="E173" s="27" t="s">
        <v>1127</v>
      </c>
      <c r="F173" s="20"/>
      <c r="G173" s="20"/>
      <c r="H173" s="15"/>
    </row>
    <row r="174" spans="1:8" s="43" customFormat="1" ht="12">
      <c r="A174" s="42">
        <f t="shared" si="2"/>
        <v>2</v>
      </c>
      <c r="B174" s="42" t="s">
        <v>1385</v>
      </c>
      <c r="C174" s="13" t="s">
        <v>1127</v>
      </c>
      <c r="D174" s="14" t="s">
        <v>637</v>
      </c>
      <c r="E174" s="27" t="s">
        <v>1127</v>
      </c>
      <c r="F174" s="20"/>
      <c r="G174" s="20"/>
      <c r="H174" s="15"/>
    </row>
    <row r="175" spans="1:8" ht="12">
      <c r="A175" s="33">
        <f t="shared" si="2"/>
        <v>2</v>
      </c>
      <c r="B175" s="33" t="s">
        <v>1386</v>
      </c>
      <c r="C175" s="12" t="s">
        <v>1555</v>
      </c>
      <c r="D175" s="4" t="s">
        <v>638</v>
      </c>
      <c r="E175" s="22" t="s">
        <v>791</v>
      </c>
      <c r="F175" s="16">
        <v>0</v>
      </c>
      <c r="H175" s="15">
        <f>ROUND((P_2_13.a Qté)*(P_2_13.a PU),2)</f>
        <v>0</v>
      </c>
    </row>
    <row r="176" spans="1:8" ht="12">
      <c r="A176" s="33">
        <f t="shared" si="2"/>
        <v>2</v>
      </c>
      <c r="B176" s="33" t="s">
        <v>1386</v>
      </c>
      <c r="C176" s="12" t="s">
        <v>1556</v>
      </c>
      <c r="D176" s="4" t="s">
        <v>639</v>
      </c>
      <c r="E176" s="22" t="s">
        <v>791</v>
      </c>
      <c r="F176" s="16">
        <v>0</v>
      </c>
      <c r="H176" s="15">
        <f>ROUND((P_2_13.b Qté)*(P_2_13.b PU),2)</f>
        <v>0</v>
      </c>
    </row>
    <row r="177" spans="1:8" ht="12">
      <c r="A177" s="33">
        <f t="shared" si="2"/>
        <v>2</v>
      </c>
      <c r="B177" s="33" t="s">
        <v>1386</v>
      </c>
      <c r="C177" s="12" t="s">
        <v>1557</v>
      </c>
      <c r="D177" s="4" t="s">
        <v>640</v>
      </c>
      <c r="E177" s="22" t="s">
        <v>791</v>
      </c>
      <c r="F177" s="16">
        <v>0</v>
      </c>
      <c r="H177" s="15">
        <f>ROUND((P_2_13.c Qté)*(P_2_13.c PU),2)</f>
        <v>0</v>
      </c>
    </row>
    <row r="178" spans="1:8" ht="12">
      <c r="A178" s="33">
        <f t="shared" si="2"/>
        <v>2</v>
      </c>
      <c r="B178" s="33" t="s">
        <v>1386</v>
      </c>
      <c r="C178" s="12" t="s">
        <v>1558</v>
      </c>
      <c r="D178" s="4" t="s">
        <v>641</v>
      </c>
      <c r="E178" s="22" t="s">
        <v>791</v>
      </c>
      <c r="F178" s="16">
        <v>0</v>
      </c>
      <c r="H178" s="15">
        <f>ROUND((P_2_13.d Qté)*(P_2_13.d PU),2)</f>
        <v>0</v>
      </c>
    </row>
    <row r="179" spans="1:8" ht="12">
      <c r="A179" s="33">
        <f t="shared" si="2"/>
        <v>2</v>
      </c>
      <c r="B179" s="33" t="s">
        <v>1386</v>
      </c>
      <c r="C179" s="12" t="s">
        <v>1559</v>
      </c>
      <c r="D179" s="4" t="s">
        <v>642</v>
      </c>
      <c r="E179" s="22" t="s">
        <v>791</v>
      </c>
      <c r="F179" s="16">
        <v>0</v>
      </c>
      <c r="H179" s="15">
        <f>ROUND((P_2_13.e Qté)*(P_2_13.e PU),2)</f>
        <v>0</v>
      </c>
    </row>
    <row r="180" spans="1:8" ht="12">
      <c r="A180" s="33">
        <f t="shared" si="2"/>
        <v>2</v>
      </c>
      <c r="B180" s="33" t="s">
        <v>1386</v>
      </c>
      <c r="C180" s="12" t="s">
        <v>1560</v>
      </c>
      <c r="D180" s="4" t="s">
        <v>643</v>
      </c>
      <c r="E180" s="22" t="s">
        <v>791</v>
      </c>
      <c r="F180" s="16">
        <v>0</v>
      </c>
      <c r="H180" s="15">
        <f>ROUND((P_2_13.f Qté)*(P_2_13.f PU),2)</f>
        <v>0</v>
      </c>
    </row>
    <row r="181" spans="1:8" ht="12">
      <c r="A181" s="33">
        <f t="shared" si="2"/>
        <v>2</v>
      </c>
      <c r="B181" s="33" t="s">
        <v>1386</v>
      </c>
      <c r="C181" s="12" t="s">
        <v>1561</v>
      </c>
      <c r="D181" s="4" t="s">
        <v>644</v>
      </c>
      <c r="E181" s="22" t="s">
        <v>791</v>
      </c>
      <c r="F181" s="16">
        <v>0</v>
      </c>
      <c r="H181" s="15">
        <f>ROUND((P_2_13.g Qté)*(P_2_13.g PU),2)</f>
        <v>0</v>
      </c>
    </row>
    <row r="182" spans="1:8" ht="12">
      <c r="A182" s="33">
        <f t="shared" si="2"/>
        <v>2</v>
      </c>
      <c r="B182" s="33" t="s">
        <v>1386</v>
      </c>
      <c r="C182" s="12" t="s">
        <v>1562</v>
      </c>
      <c r="D182" s="4" t="s">
        <v>645</v>
      </c>
      <c r="E182" s="22" t="s">
        <v>791</v>
      </c>
      <c r="F182" s="16">
        <v>0</v>
      </c>
      <c r="H182" s="15">
        <f>ROUND((P_2_13.h Qté)*(P_2_13.h PU),2)</f>
        <v>0</v>
      </c>
    </row>
    <row r="183" spans="1:8" ht="12">
      <c r="A183" s="33">
        <f t="shared" si="2"/>
        <v>2</v>
      </c>
      <c r="B183" s="33" t="s">
        <v>1386</v>
      </c>
      <c r="C183" s="12" t="s">
        <v>1563</v>
      </c>
      <c r="D183" s="4" t="s">
        <v>646</v>
      </c>
      <c r="E183" s="22" t="s">
        <v>791</v>
      </c>
      <c r="F183" s="16">
        <v>0</v>
      </c>
      <c r="H183" s="15">
        <f>ROUND((P_2_13.i Qté)*(P_2_13.i PU),2)</f>
        <v>0</v>
      </c>
    </row>
    <row r="184" spans="1:8" ht="12">
      <c r="A184" s="33">
        <f t="shared" si="2"/>
        <v>2</v>
      </c>
      <c r="B184" s="33" t="s">
        <v>1386</v>
      </c>
      <c r="C184" s="12" t="s">
        <v>1564</v>
      </c>
      <c r="D184" s="4" t="s">
        <v>647</v>
      </c>
      <c r="E184" s="22" t="s">
        <v>791</v>
      </c>
      <c r="F184" s="16">
        <v>0</v>
      </c>
      <c r="H184" s="15">
        <f>ROUND((P_2_13.j Qté)*(P_2_13.j PU),2)</f>
        <v>0</v>
      </c>
    </row>
    <row r="185" spans="1:8" s="43" customFormat="1" ht="24">
      <c r="A185" s="42">
        <f t="shared" si="2"/>
        <v>2</v>
      </c>
      <c r="B185" s="42" t="s">
        <v>1385</v>
      </c>
      <c r="C185" s="13" t="s">
        <v>919</v>
      </c>
      <c r="D185" s="10" t="s">
        <v>1217</v>
      </c>
      <c r="E185" s="27" t="s">
        <v>1127</v>
      </c>
      <c r="F185" s="20"/>
      <c r="G185" s="20"/>
      <c r="H185" s="15"/>
    </row>
    <row r="186" spans="1:8" s="43" customFormat="1" ht="12">
      <c r="A186" s="42">
        <f t="shared" si="2"/>
        <v>2</v>
      </c>
      <c r="B186" s="42" t="s">
        <v>1385</v>
      </c>
      <c r="C186" s="13"/>
      <c r="D186" s="10" t="s">
        <v>1215</v>
      </c>
      <c r="E186" s="27" t="s">
        <v>1127</v>
      </c>
      <c r="F186" s="20"/>
      <c r="G186" s="20"/>
      <c r="H186" s="15"/>
    </row>
    <row r="187" spans="1:8" s="43" customFormat="1" ht="12">
      <c r="A187" s="42">
        <f t="shared" si="2"/>
        <v>2</v>
      </c>
      <c r="B187" s="42" t="s">
        <v>1385</v>
      </c>
      <c r="C187" s="13"/>
      <c r="D187" s="14" t="s">
        <v>606</v>
      </c>
      <c r="E187" s="27" t="s">
        <v>1127</v>
      </c>
      <c r="F187" s="20"/>
      <c r="G187" s="20"/>
      <c r="H187" s="15"/>
    </row>
    <row r="188" spans="1:8" s="43" customFormat="1" ht="24">
      <c r="A188" s="42">
        <f t="shared" si="2"/>
        <v>2</v>
      </c>
      <c r="B188" s="42" t="s">
        <v>1385</v>
      </c>
      <c r="C188" s="13"/>
      <c r="D188" s="14" t="s">
        <v>648</v>
      </c>
      <c r="E188" s="27" t="s">
        <v>1127</v>
      </c>
      <c r="F188" s="20"/>
      <c r="G188" s="20"/>
      <c r="H188" s="15"/>
    </row>
    <row r="189" spans="1:8" s="43" customFormat="1" ht="12">
      <c r="A189" s="42">
        <f t="shared" si="2"/>
        <v>2</v>
      </c>
      <c r="B189" s="42" t="s">
        <v>1385</v>
      </c>
      <c r="C189" s="13"/>
      <c r="D189" s="14" t="s">
        <v>627</v>
      </c>
      <c r="E189" s="27" t="s">
        <v>1127</v>
      </c>
      <c r="F189" s="20"/>
      <c r="G189" s="20"/>
      <c r="H189" s="15"/>
    </row>
    <row r="190" spans="1:8" s="43" customFormat="1" ht="12">
      <c r="A190" s="42">
        <f t="shared" si="2"/>
        <v>2</v>
      </c>
      <c r="B190" s="42" t="s">
        <v>1385</v>
      </c>
      <c r="C190" s="13"/>
      <c r="D190" s="14" t="s">
        <v>609</v>
      </c>
      <c r="E190" s="27" t="s">
        <v>1127</v>
      </c>
      <c r="F190" s="20"/>
      <c r="G190" s="20"/>
      <c r="H190" s="15"/>
    </row>
    <row r="191" spans="1:8" s="43" customFormat="1" ht="12">
      <c r="A191" s="42">
        <f t="shared" si="2"/>
        <v>2</v>
      </c>
      <c r="B191" s="42" t="s">
        <v>1385</v>
      </c>
      <c r="C191" s="13"/>
      <c r="D191" s="14" t="s">
        <v>649</v>
      </c>
      <c r="E191" s="27" t="s">
        <v>1127</v>
      </c>
      <c r="F191" s="20"/>
      <c r="G191" s="20"/>
      <c r="H191" s="15"/>
    </row>
    <row r="192" spans="1:8" s="43" customFormat="1" ht="12">
      <c r="A192" s="42">
        <f t="shared" si="2"/>
        <v>2</v>
      </c>
      <c r="B192" s="42" t="s">
        <v>1385</v>
      </c>
      <c r="C192" s="13"/>
      <c r="D192" s="10" t="s">
        <v>1218</v>
      </c>
      <c r="E192" s="27" t="s">
        <v>1127</v>
      </c>
      <c r="F192" s="20"/>
      <c r="G192" s="20"/>
      <c r="H192" s="15"/>
    </row>
    <row r="193" spans="1:8" ht="12">
      <c r="A193" s="33">
        <f t="shared" si="2"/>
        <v>2</v>
      </c>
      <c r="B193" s="33" t="s">
        <v>1386</v>
      </c>
      <c r="C193" s="12" t="s">
        <v>1565</v>
      </c>
      <c r="D193" s="4" t="s">
        <v>650</v>
      </c>
      <c r="E193" s="22" t="s">
        <v>1213</v>
      </c>
      <c r="F193" s="16">
        <v>0</v>
      </c>
      <c r="H193" s="15">
        <f>ROUND((P_2_14.a Qté)*(P_2_14.a PU),2)</f>
        <v>0</v>
      </c>
    </row>
    <row r="194" spans="1:8" ht="12">
      <c r="A194" s="33">
        <f t="shared" si="2"/>
        <v>2</v>
      </c>
      <c r="B194" s="33" t="s">
        <v>1386</v>
      </c>
      <c r="C194" s="12" t="s">
        <v>1566</v>
      </c>
      <c r="D194" s="4" t="s">
        <v>651</v>
      </c>
      <c r="E194" s="22" t="s">
        <v>1213</v>
      </c>
      <c r="F194" s="16">
        <v>0</v>
      </c>
      <c r="H194" s="15">
        <f>ROUND((P_2_14.b Qté)*(P_2_14.b PU),2)</f>
        <v>0</v>
      </c>
    </row>
    <row r="195" spans="1:8" ht="24">
      <c r="A195" s="33">
        <f t="shared" si="2"/>
        <v>2</v>
      </c>
      <c r="B195" s="33" t="s">
        <v>1386</v>
      </c>
      <c r="C195" s="12" t="s">
        <v>1567</v>
      </c>
      <c r="D195" s="4" t="s">
        <v>19</v>
      </c>
      <c r="E195" s="22" t="s">
        <v>1213</v>
      </c>
      <c r="F195" s="16">
        <v>0</v>
      </c>
      <c r="H195" s="15">
        <f>ROUND((P_2_14.c Qté)*(P_2_14.c PU),2)</f>
        <v>0</v>
      </c>
    </row>
    <row r="196" spans="1:8" s="43" customFormat="1" ht="12">
      <c r="A196" s="42">
        <f t="shared" si="2"/>
        <v>2</v>
      </c>
      <c r="B196" s="42" t="s">
        <v>1385</v>
      </c>
      <c r="C196" s="13"/>
      <c r="D196" s="10" t="s">
        <v>1219</v>
      </c>
      <c r="E196" s="27" t="s">
        <v>1127</v>
      </c>
      <c r="F196" s="20"/>
      <c r="G196" s="20"/>
      <c r="H196" s="15"/>
    </row>
    <row r="197" spans="1:8" ht="12">
      <c r="A197" s="33">
        <f aca="true" t="shared" si="3" ref="A197:A260">A196</f>
        <v>2</v>
      </c>
      <c r="B197" s="33" t="s">
        <v>1386</v>
      </c>
      <c r="C197" s="12" t="s">
        <v>1568</v>
      </c>
      <c r="D197" s="4" t="s">
        <v>652</v>
      </c>
      <c r="E197" s="22" t="s">
        <v>1128</v>
      </c>
      <c r="F197" s="16">
        <v>0</v>
      </c>
      <c r="H197" s="15">
        <f>ROUND((P_2_14.d Qté)*(P_2_14.d PU),2)</f>
        <v>0</v>
      </c>
    </row>
    <row r="198" spans="1:8" ht="12">
      <c r="A198" s="33">
        <f t="shared" si="3"/>
        <v>2</v>
      </c>
      <c r="B198" s="33" t="s">
        <v>1386</v>
      </c>
      <c r="C198" s="12" t="s">
        <v>1569</v>
      </c>
      <c r="D198" s="4" t="s">
        <v>653</v>
      </c>
      <c r="E198" s="22" t="s">
        <v>1128</v>
      </c>
      <c r="F198" s="16">
        <v>0</v>
      </c>
      <c r="H198" s="15">
        <f>ROUND((P_2_14.e Qté)*(P_2_14.e PU),2)</f>
        <v>0</v>
      </c>
    </row>
    <row r="199" spans="1:8" s="43" customFormat="1" ht="12">
      <c r="A199" s="42">
        <f t="shared" si="3"/>
        <v>2</v>
      </c>
      <c r="B199" s="42" t="s">
        <v>1385</v>
      </c>
      <c r="C199" s="13"/>
      <c r="D199" s="10" t="s">
        <v>1220</v>
      </c>
      <c r="E199" s="27" t="s">
        <v>1127</v>
      </c>
      <c r="F199" s="20"/>
      <c r="G199" s="20"/>
      <c r="H199" s="15"/>
    </row>
    <row r="200" spans="1:8" s="43" customFormat="1" ht="24">
      <c r="A200" s="42">
        <f t="shared" si="3"/>
        <v>2</v>
      </c>
      <c r="B200" s="42" t="s">
        <v>1385</v>
      </c>
      <c r="C200" s="13" t="s">
        <v>920</v>
      </c>
      <c r="D200" s="10" t="s">
        <v>1221</v>
      </c>
      <c r="E200" s="27" t="s">
        <v>1127</v>
      </c>
      <c r="F200" s="20"/>
      <c r="G200" s="20"/>
      <c r="H200" s="15"/>
    </row>
    <row r="201" spans="1:8" s="43" customFormat="1" ht="12">
      <c r="A201" s="42">
        <f t="shared" si="3"/>
        <v>2</v>
      </c>
      <c r="B201" s="42" t="s">
        <v>1385</v>
      </c>
      <c r="C201" s="13"/>
      <c r="D201" s="10" t="s">
        <v>1209</v>
      </c>
      <c r="E201" s="27" t="s">
        <v>1127</v>
      </c>
      <c r="F201" s="20"/>
      <c r="G201" s="20"/>
      <c r="H201" s="15"/>
    </row>
    <row r="202" spans="1:8" s="43" customFormat="1" ht="36">
      <c r="A202" s="42">
        <f t="shared" si="3"/>
        <v>2</v>
      </c>
      <c r="B202" s="42" t="s">
        <v>1385</v>
      </c>
      <c r="C202" s="13"/>
      <c r="D202" s="14" t="s">
        <v>654</v>
      </c>
      <c r="E202" s="27" t="s">
        <v>1127</v>
      </c>
      <c r="F202" s="20"/>
      <c r="G202" s="20"/>
      <c r="H202" s="15"/>
    </row>
    <row r="203" spans="1:8" s="43" customFormat="1" ht="12">
      <c r="A203" s="42">
        <f t="shared" si="3"/>
        <v>2</v>
      </c>
      <c r="B203" s="42" t="s">
        <v>1385</v>
      </c>
      <c r="C203" s="13"/>
      <c r="D203" s="14" t="s">
        <v>606</v>
      </c>
      <c r="E203" s="27" t="s">
        <v>1127</v>
      </c>
      <c r="F203" s="20"/>
      <c r="G203" s="20"/>
      <c r="H203" s="15"/>
    </row>
    <row r="204" spans="1:8" s="43" customFormat="1" ht="12">
      <c r="A204" s="42">
        <f t="shared" si="3"/>
        <v>2</v>
      </c>
      <c r="B204" s="42" t="s">
        <v>1385</v>
      </c>
      <c r="C204" s="13"/>
      <c r="D204" s="14" t="s">
        <v>607</v>
      </c>
      <c r="E204" s="27" t="s">
        <v>1127</v>
      </c>
      <c r="F204" s="20"/>
      <c r="G204" s="20"/>
      <c r="H204" s="15"/>
    </row>
    <row r="205" spans="1:8" s="43" customFormat="1" ht="12">
      <c r="A205" s="42">
        <f t="shared" si="3"/>
        <v>2</v>
      </c>
      <c r="B205" s="42" t="s">
        <v>1385</v>
      </c>
      <c r="C205" s="13"/>
      <c r="D205" s="14" t="s">
        <v>627</v>
      </c>
      <c r="E205" s="27" t="s">
        <v>1127</v>
      </c>
      <c r="F205" s="20"/>
      <c r="G205" s="20"/>
      <c r="H205" s="15"/>
    </row>
    <row r="206" spans="1:8" s="43" customFormat="1" ht="24">
      <c r="A206" s="42">
        <f t="shared" si="3"/>
        <v>2</v>
      </c>
      <c r="B206" s="42" t="s">
        <v>1385</v>
      </c>
      <c r="C206" s="13"/>
      <c r="D206" s="14" t="s">
        <v>655</v>
      </c>
      <c r="E206" s="27" t="s">
        <v>1127</v>
      </c>
      <c r="F206" s="20"/>
      <c r="G206" s="20"/>
      <c r="H206" s="15"/>
    </row>
    <row r="207" spans="1:8" s="43" customFormat="1" ht="12">
      <c r="A207" s="42">
        <f t="shared" si="3"/>
        <v>2</v>
      </c>
      <c r="B207" s="42" t="s">
        <v>1385</v>
      </c>
      <c r="C207" s="13"/>
      <c r="D207" s="14" t="s">
        <v>609</v>
      </c>
      <c r="E207" s="27" t="s">
        <v>1127</v>
      </c>
      <c r="F207" s="20"/>
      <c r="G207" s="20"/>
      <c r="H207" s="15"/>
    </row>
    <row r="208" spans="1:8" s="43" customFormat="1" ht="12">
      <c r="A208" s="42">
        <f t="shared" si="3"/>
        <v>2</v>
      </c>
      <c r="B208" s="42" t="s">
        <v>1385</v>
      </c>
      <c r="C208" s="13"/>
      <c r="D208" s="14" t="s">
        <v>656</v>
      </c>
      <c r="E208" s="27" t="s">
        <v>1127</v>
      </c>
      <c r="F208" s="20"/>
      <c r="G208" s="20"/>
      <c r="H208" s="15"/>
    </row>
    <row r="209" spans="1:8" ht="12">
      <c r="A209" s="33">
        <f t="shared" si="3"/>
        <v>2</v>
      </c>
      <c r="B209" s="33" t="s">
        <v>1386</v>
      </c>
      <c r="C209" s="12" t="s">
        <v>1570</v>
      </c>
      <c r="D209" s="4" t="s">
        <v>657</v>
      </c>
      <c r="E209" s="22" t="s">
        <v>1206</v>
      </c>
      <c r="F209" s="16">
        <v>0</v>
      </c>
      <c r="H209" s="15">
        <f>ROUND((P_2_15.a Qté)*(P_2_15.a PU),2)</f>
        <v>0</v>
      </c>
    </row>
    <row r="210" spans="1:8" ht="12">
      <c r="A210" s="33">
        <f t="shared" si="3"/>
        <v>2</v>
      </c>
      <c r="B210" s="33" t="s">
        <v>1386</v>
      </c>
      <c r="C210" s="12" t="s">
        <v>1571</v>
      </c>
      <c r="D210" s="4" t="s">
        <v>658</v>
      </c>
      <c r="E210" s="22" t="s">
        <v>1206</v>
      </c>
      <c r="F210" s="16">
        <v>0</v>
      </c>
      <c r="H210" s="15">
        <f>ROUND((P_2_15.b Qté)*(P_2_15.b PU),2)</f>
        <v>0</v>
      </c>
    </row>
    <row r="211" spans="1:8" ht="12">
      <c r="A211" s="33">
        <f t="shared" si="3"/>
        <v>2</v>
      </c>
      <c r="B211" s="33" t="s">
        <v>1386</v>
      </c>
      <c r="C211" s="12" t="s">
        <v>1572</v>
      </c>
      <c r="D211" s="4" t="s">
        <v>659</v>
      </c>
      <c r="E211" s="22" t="s">
        <v>1206</v>
      </c>
      <c r="F211" s="16">
        <v>0</v>
      </c>
      <c r="H211" s="15">
        <f>ROUND((P_2_15.c Qté)*(P_2_15.c PU),2)</f>
        <v>0</v>
      </c>
    </row>
    <row r="212" spans="1:8" ht="12">
      <c r="A212" s="33">
        <f t="shared" si="3"/>
        <v>2</v>
      </c>
      <c r="B212" s="33" t="s">
        <v>1386</v>
      </c>
      <c r="C212" s="12" t="s">
        <v>1573</v>
      </c>
      <c r="D212" s="4" t="s">
        <v>660</v>
      </c>
      <c r="E212" s="22" t="s">
        <v>1206</v>
      </c>
      <c r="F212" s="16">
        <v>0</v>
      </c>
      <c r="H212" s="15">
        <f>ROUND((P_2_15.d Qté)*(P_2_15.d PU),2)</f>
        <v>0</v>
      </c>
    </row>
    <row r="213" spans="1:8" ht="12">
      <c r="A213" s="33">
        <f t="shared" si="3"/>
        <v>2</v>
      </c>
      <c r="B213" s="33" t="s">
        <v>1386</v>
      </c>
      <c r="C213" s="12" t="s">
        <v>1574</v>
      </c>
      <c r="D213" s="4" t="s">
        <v>661</v>
      </c>
      <c r="E213" s="22" t="s">
        <v>1206</v>
      </c>
      <c r="F213" s="16">
        <v>0</v>
      </c>
      <c r="H213" s="15">
        <f>ROUND((P_2_15.e Qté)*(P_2_15.e PU),2)</f>
        <v>0</v>
      </c>
    </row>
    <row r="214" spans="1:8" ht="12">
      <c r="A214" s="33">
        <f t="shared" si="3"/>
        <v>2</v>
      </c>
      <c r="B214" s="33" t="s">
        <v>1386</v>
      </c>
      <c r="C214" s="12" t="s">
        <v>1575</v>
      </c>
      <c r="D214" s="4" t="s">
        <v>662</v>
      </c>
      <c r="E214" s="22" t="s">
        <v>1206</v>
      </c>
      <c r="F214" s="16">
        <v>0</v>
      </c>
      <c r="H214" s="15">
        <f>ROUND((P_2_15.f Qté)*(P_2_15.f PU),2)</f>
        <v>0</v>
      </c>
    </row>
    <row r="215" spans="1:8" s="43" customFormat="1" ht="24">
      <c r="A215" s="42">
        <f t="shared" si="3"/>
        <v>2</v>
      </c>
      <c r="B215" s="42" t="s">
        <v>1385</v>
      </c>
      <c r="C215" s="13" t="s">
        <v>921</v>
      </c>
      <c r="D215" s="10" t="s">
        <v>1222</v>
      </c>
      <c r="E215" s="27" t="s">
        <v>1127</v>
      </c>
      <c r="F215" s="20"/>
      <c r="G215" s="20"/>
      <c r="H215" s="15"/>
    </row>
    <row r="216" spans="1:8" s="43" customFormat="1" ht="12">
      <c r="A216" s="42">
        <f t="shared" si="3"/>
        <v>2</v>
      </c>
      <c r="B216" s="42" t="s">
        <v>1385</v>
      </c>
      <c r="C216" s="13"/>
      <c r="D216" s="10" t="s">
        <v>1209</v>
      </c>
      <c r="E216" s="27" t="s">
        <v>1127</v>
      </c>
      <c r="F216" s="20"/>
      <c r="G216" s="20"/>
      <c r="H216" s="15"/>
    </row>
    <row r="217" spans="1:8" s="43" customFormat="1" ht="60">
      <c r="A217" s="42">
        <f t="shared" si="3"/>
        <v>2</v>
      </c>
      <c r="B217" s="42" t="s">
        <v>1385</v>
      </c>
      <c r="C217" s="13"/>
      <c r="D217" s="14" t="s">
        <v>663</v>
      </c>
      <c r="E217" s="27" t="s">
        <v>1127</v>
      </c>
      <c r="F217" s="20"/>
      <c r="G217" s="20"/>
      <c r="H217" s="15"/>
    </row>
    <row r="218" spans="1:8" s="43" customFormat="1" ht="12">
      <c r="A218" s="42">
        <f t="shared" si="3"/>
        <v>2</v>
      </c>
      <c r="B218" s="42" t="s">
        <v>1385</v>
      </c>
      <c r="C218" s="13"/>
      <c r="D218" s="14" t="s">
        <v>606</v>
      </c>
      <c r="E218" s="27" t="s">
        <v>1127</v>
      </c>
      <c r="F218" s="20"/>
      <c r="G218" s="20"/>
      <c r="H218" s="15"/>
    </row>
    <row r="219" spans="1:8" s="43" customFormat="1" ht="12">
      <c r="A219" s="42">
        <f t="shared" si="3"/>
        <v>2</v>
      </c>
      <c r="B219" s="42" t="s">
        <v>1385</v>
      </c>
      <c r="C219" s="13"/>
      <c r="D219" s="14" t="s">
        <v>607</v>
      </c>
      <c r="E219" s="27" t="s">
        <v>1127</v>
      </c>
      <c r="F219" s="20"/>
      <c r="G219" s="20"/>
      <c r="H219" s="15"/>
    </row>
    <row r="220" spans="1:8" s="43" customFormat="1" ht="12">
      <c r="A220" s="42">
        <f t="shared" si="3"/>
        <v>2</v>
      </c>
      <c r="B220" s="42" t="s">
        <v>1385</v>
      </c>
      <c r="C220" s="13"/>
      <c r="D220" s="14" t="s">
        <v>627</v>
      </c>
      <c r="E220" s="27" t="s">
        <v>1127</v>
      </c>
      <c r="F220" s="20"/>
      <c r="G220" s="20"/>
      <c r="H220" s="15"/>
    </row>
    <row r="221" spans="1:8" s="43" customFormat="1" ht="36">
      <c r="A221" s="42">
        <f t="shared" si="3"/>
        <v>2</v>
      </c>
      <c r="B221" s="42" t="s">
        <v>1385</v>
      </c>
      <c r="C221" s="13"/>
      <c r="D221" s="14" t="s">
        <v>664</v>
      </c>
      <c r="E221" s="27" t="s">
        <v>1127</v>
      </c>
      <c r="F221" s="20"/>
      <c r="G221" s="20"/>
      <c r="H221" s="15"/>
    </row>
    <row r="222" spans="1:8" s="43" customFormat="1" ht="12">
      <c r="A222" s="42">
        <f t="shared" si="3"/>
        <v>2</v>
      </c>
      <c r="B222" s="42" t="s">
        <v>1385</v>
      </c>
      <c r="C222" s="13"/>
      <c r="D222" s="14" t="s">
        <v>609</v>
      </c>
      <c r="E222" s="27" t="s">
        <v>1127</v>
      </c>
      <c r="F222" s="20"/>
      <c r="G222" s="20"/>
      <c r="H222" s="15"/>
    </row>
    <row r="223" spans="1:8" s="43" customFormat="1" ht="12">
      <c r="A223" s="42">
        <f t="shared" si="3"/>
        <v>2</v>
      </c>
      <c r="B223" s="42" t="s">
        <v>1385</v>
      </c>
      <c r="C223" s="13"/>
      <c r="D223" s="14" t="s">
        <v>649</v>
      </c>
      <c r="E223" s="27" t="s">
        <v>1127</v>
      </c>
      <c r="F223" s="20"/>
      <c r="G223" s="20"/>
      <c r="H223" s="15"/>
    </row>
    <row r="224" spans="1:8" ht="12">
      <c r="A224" s="33">
        <f t="shared" si="3"/>
        <v>2</v>
      </c>
      <c r="B224" s="33" t="s">
        <v>1386</v>
      </c>
      <c r="C224" s="12" t="s">
        <v>1576</v>
      </c>
      <c r="D224" s="4" t="s">
        <v>665</v>
      </c>
      <c r="E224" s="22" t="s">
        <v>1206</v>
      </c>
      <c r="F224" s="16">
        <v>0</v>
      </c>
      <c r="H224" s="15">
        <f>ROUND((P_2_16.a Qté)*(P_2_16.a PU),2)</f>
        <v>0</v>
      </c>
    </row>
    <row r="225" spans="1:8" ht="12">
      <c r="A225" s="33">
        <f t="shared" si="3"/>
        <v>2</v>
      </c>
      <c r="B225" s="33" t="s">
        <v>1386</v>
      </c>
      <c r="C225" s="12" t="s">
        <v>1577</v>
      </c>
      <c r="D225" s="4" t="s">
        <v>666</v>
      </c>
      <c r="E225" s="22" t="s">
        <v>1206</v>
      </c>
      <c r="F225" s="16">
        <v>0</v>
      </c>
      <c r="H225" s="15">
        <f>ROUND((P_2_16.b Qté)*(P_2_16.b PU),2)</f>
        <v>0</v>
      </c>
    </row>
    <row r="226" spans="1:8" ht="12">
      <c r="A226" s="33">
        <f t="shared" si="3"/>
        <v>2</v>
      </c>
      <c r="B226" s="33" t="s">
        <v>1386</v>
      </c>
      <c r="C226" s="12" t="s">
        <v>1578</v>
      </c>
      <c r="D226" s="4" t="s">
        <v>667</v>
      </c>
      <c r="E226" s="22" t="s">
        <v>1206</v>
      </c>
      <c r="F226" s="16">
        <v>0</v>
      </c>
      <c r="H226" s="15">
        <f>ROUND((P_2_16.c Qté)*(P_2_16.c PU),2)</f>
        <v>0</v>
      </c>
    </row>
    <row r="227" spans="1:8" ht="12">
      <c r="A227" s="33">
        <f t="shared" si="3"/>
        <v>2</v>
      </c>
      <c r="B227" s="33" t="s">
        <v>1386</v>
      </c>
      <c r="C227" s="12" t="s">
        <v>1579</v>
      </c>
      <c r="D227" s="4" t="s">
        <v>668</v>
      </c>
      <c r="E227" s="22" t="s">
        <v>1206</v>
      </c>
      <c r="F227" s="16">
        <v>0</v>
      </c>
      <c r="H227" s="15">
        <f>ROUND((P_2_16.d Qté)*(P_2_16.d PU),2)</f>
        <v>0</v>
      </c>
    </row>
    <row r="228" spans="1:8" ht="12">
      <c r="A228" s="33">
        <f t="shared" si="3"/>
        <v>2</v>
      </c>
      <c r="B228" s="33" t="s">
        <v>1386</v>
      </c>
      <c r="C228" s="12" t="s">
        <v>1580</v>
      </c>
      <c r="D228" s="4" t="s">
        <v>669</v>
      </c>
      <c r="E228" s="22" t="s">
        <v>1206</v>
      </c>
      <c r="F228" s="16">
        <v>0</v>
      </c>
      <c r="H228" s="15">
        <f>ROUND((P_2_16.e Qté)*(P_2_16.e PU),2)</f>
        <v>0</v>
      </c>
    </row>
    <row r="229" spans="1:8" ht="12">
      <c r="A229" s="33">
        <f t="shared" si="3"/>
        <v>2</v>
      </c>
      <c r="B229" s="33" t="s">
        <v>1386</v>
      </c>
      <c r="C229" s="12" t="s">
        <v>1581</v>
      </c>
      <c r="D229" s="4" t="s">
        <v>670</v>
      </c>
      <c r="E229" s="22" t="s">
        <v>1206</v>
      </c>
      <c r="F229" s="16">
        <v>0</v>
      </c>
      <c r="H229" s="15">
        <f>ROUND((P_2_16.f Qté)*(P_2_16.f PU),2)</f>
        <v>0</v>
      </c>
    </row>
    <row r="230" spans="1:8" s="43" customFormat="1" ht="24">
      <c r="A230" s="42">
        <f t="shared" si="3"/>
        <v>2</v>
      </c>
      <c r="B230" s="42" t="s">
        <v>1385</v>
      </c>
      <c r="C230" s="13" t="s">
        <v>922</v>
      </c>
      <c r="D230" s="10" t="s">
        <v>1223</v>
      </c>
      <c r="E230" s="27" t="s">
        <v>1127</v>
      </c>
      <c r="F230" s="20"/>
      <c r="G230" s="20"/>
      <c r="H230" s="15"/>
    </row>
    <row r="231" spans="1:8" s="43" customFormat="1" ht="12">
      <c r="A231" s="42">
        <f t="shared" si="3"/>
        <v>2</v>
      </c>
      <c r="B231" s="42" t="s">
        <v>1385</v>
      </c>
      <c r="C231" s="13"/>
      <c r="D231" s="10" t="s">
        <v>1209</v>
      </c>
      <c r="E231" s="27" t="s">
        <v>1127</v>
      </c>
      <c r="F231" s="20"/>
      <c r="G231" s="20"/>
      <c r="H231" s="15"/>
    </row>
    <row r="232" spans="1:8" s="43" customFormat="1" ht="36">
      <c r="A232" s="42">
        <f t="shared" si="3"/>
        <v>2</v>
      </c>
      <c r="B232" s="42" t="s">
        <v>1385</v>
      </c>
      <c r="C232" s="13"/>
      <c r="D232" s="14" t="s">
        <v>671</v>
      </c>
      <c r="E232" s="27" t="s">
        <v>1127</v>
      </c>
      <c r="F232" s="20"/>
      <c r="G232" s="20"/>
      <c r="H232" s="15"/>
    </row>
    <row r="233" spans="1:8" s="43" customFormat="1" ht="12">
      <c r="A233" s="42">
        <f t="shared" si="3"/>
        <v>2</v>
      </c>
      <c r="B233" s="42" t="s">
        <v>1385</v>
      </c>
      <c r="C233" s="13"/>
      <c r="D233" s="14" t="s">
        <v>606</v>
      </c>
      <c r="E233" s="27" t="s">
        <v>1127</v>
      </c>
      <c r="F233" s="20"/>
      <c r="G233" s="20"/>
      <c r="H233" s="15"/>
    </row>
    <row r="234" spans="1:8" s="43" customFormat="1" ht="12">
      <c r="A234" s="42">
        <f t="shared" si="3"/>
        <v>2</v>
      </c>
      <c r="B234" s="42" t="s">
        <v>1385</v>
      </c>
      <c r="C234" s="13"/>
      <c r="D234" s="14" t="s">
        <v>607</v>
      </c>
      <c r="E234" s="27" t="s">
        <v>1127</v>
      </c>
      <c r="F234" s="20"/>
      <c r="G234" s="20"/>
      <c r="H234" s="15"/>
    </row>
    <row r="235" spans="1:8" s="43" customFormat="1" ht="12">
      <c r="A235" s="42">
        <f t="shared" si="3"/>
        <v>2</v>
      </c>
      <c r="B235" s="42" t="s">
        <v>1385</v>
      </c>
      <c r="C235" s="13"/>
      <c r="D235" s="14" t="s">
        <v>627</v>
      </c>
      <c r="E235" s="27" t="s">
        <v>1127</v>
      </c>
      <c r="F235" s="20"/>
      <c r="G235" s="20"/>
      <c r="H235" s="15"/>
    </row>
    <row r="236" spans="1:8" s="43" customFormat="1" ht="36">
      <c r="A236" s="42">
        <f t="shared" si="3"/>
        <v>2</v>
      </c>
      <c r="B236" s="42" t="s">
        <v>1385</v>
      </c>
      <c r="C236" s="13"/>
      <c r="D236" s="14" t="s">
        <v>664</v>
      </c>
      <c r="E236" s="27" t="s">
        <v>1127</v>
      </c>
      <c r="F236" s="20"/>
      <c r="G236" s="20"/>
      <c r="H236" s="15"/>
    </row>
    <row r="237" spans="1:8" s="43" customFormat="1" ht="12">
      <c r="A237" s="42">
        <f t="shared" si="3"/>
        <v>2</v>
      </c>
      <c r="B237" s="42" t="s">
        <v>1385</v>
      </c>
      <c r="C237" s="13"/>
      <c r="D237" s="14" t="s">
        <v>609</v>
      </c>
      <c r="E237" s="27" t="s">
        <v>1127</v>
      </c>
      <c r="F237" s="20"/>
      <c r="G237" s="20"/>
      <c r="H237" s="15"/>
    </row>
    <row r="238" spans="1:8" s="43" customFormat="1" ht="12">
      <c r="A238" s="42">
        <f t="shared" si="3"/>
        <v>2</v>
      </c>
      <c r="B238" s="42" t="s">
        <v>1385</v>
      </c>
      <c r="C238" s="13"/>
      <c r="D238" s="14" t="s">
        <v>649</v>
      </c>
      <c r="E238" s="27" t="s">
        <v>1127</v>
      </c>
      <c r="F238" s="20"/>
      <c r="G238" s="20"/>
      <c r="H238" s="15"/>
    </row>
    <row r="239" spans="1:8" ht="12">
      <c r="A239" s="33">
        <f t="shared" si="3"/>
        <v>2</v>
      </c>
      <c r="B239" s="33" t="s">
        <v>1386</v>
      </c>
      <c r="C239" s="12" t="s">
        <v>1582</v>
      </c>
      <c r="D239" s="4" t="s">
        <v>665</v>
      </c>
      <c r="E239" s="22" t="s">
        <v>1206</v>
      </c>
      <c r="F239" s="16">
        <v>0</v>
      </c>
      <c r="H239" s="15">
        <f>ROUND((P_2_17.a Qté)*(P_2_17.a PU),2)</f>
        <v>0</v>
      </c>
    </row>
    <row r="240" spans="1:8" ht="12">
      <c r="A240" s="33">
        <f t="shared" si="3"/>
        <v>2</v>
      </c>
      <c r="B240" s="33" t="s">
        <v>1386</v>
      </c>
      <c r="C240" s="12" t="s">
        <v>1583</v>
      </c>
      <c r="D240" s="4" t="s">
        <v>666</v>
      </c>
      <c r="E240" s="22" t="s">
        <v>1206</v>
      </c>
      <c r="F240" s="16">
        <v>0</v>
      </c>
      <c r="H240" s="15">
        <f>ROUND((P_2_17.b Qté)*(P_2_17.b PU),2)</f>
        <v>0</v>
      </c>
    </row>
    <row r="241" spans="1:8" ht="12">
      <c r="A241" s="33">
        <f t="shared" si="3"/>
        <v>2</v>
      </c>
      <c r="B241" s="33" t="s">
        <v>1386</v>
      </c>
      <c r="C241" s="12" t="s">
        <v>1584</v>
      </c>
      <c r="D241" s="4" t="s">
        <v>672</v>
      </c>
      <c r="E241" s="22" t="s">
        <v>1206</v>
      </c>
      <c r="F241" s="16">
        <v>0</v>
      </c>
      <c r="H241" s="15">
        <f>ROUND((P_2_17.c Qté)*(P_2_17.c PU),2)</f>
        <v>0</v>
      </c>
    </row>
    <row r="242" spans="1:8" ht="12">
      <c r="A242" s="33">
        <f t="shared" si="3"/>
        <v>2</v>
      </c>
      <c r="B242" s="33" t="s">
        <v>1386</v>
      </c>
      <c r="C242" s="12" t="s">
        <v>1585</v>
      </c>
      <c r="D242" s="4" t="s">
        <v>673</v>
      </c>
      <c r="E242" s="22" t="s">
        <v>1206</v>
      </c>
      <c r="F242" s="16">
        <v>0</v>
      </c>
      <c r="H242" s="15">
        <f>ROUND((P_2_17.d Qté)*(P_2_17.d PU),2)</f>
        <v>0</v>
      </c>
    </row>
    <row r="243" spans="1:8" ht="12">
      <c r="A243" s="33">
        <f t="shared" si="3"/>
        <v>2</v>
      </c>
      <c r="B243" s="33" t="s">
        <v>1386</v>
      </c>
      <c r="C243" s="12" t="s">
        <v>1586</v>
      </c>
      <c r="D243" s="4" t="s">
        <v>669</v>
      </c>
      <c r="E243" s="22" t="s">
        <v>1206</v>
      </c>
      <c r="F243" s="16">
        <v>0</v>
      </c>
      <c r="H243" s="15">
        <f>ROUND((P_2_17.e Qté)*(P_2_17.e PU),2)</f>
        <v>0</v>
      </c>
    </row>
    <row r="244" spans="1:8" s="43" customFormat="1" ht="12">
      <c r="A244" s="42">
        <f t="shared" si="3"/>
        <v>2</v>
      </c>
      <c r="B244" s="42" t="s">
        <v>1385</v>
      </c>
      <c r="C244" s="13" t="s">
        <v>923</v>
      </c>
      <c r="D244" s="10" t="s">
        <v>1224</v>
      </c>
      <c r="E244" s="27" t="s">
        <v>1127</v>
      </c>
      <c r="F244" s="20"/>
      <c r="G244" s="20"/>
      <c r="H244" s="15"/>
    </row>
    <row r="245" spans="1:8" s="43" customFormat="1" ht="12">
      <c r="A245" s="42">
        <f t="shared" si="3"/>
        <v>2</v>
      </c>
      <c r="B245" s="42" t="s">
        <v>1385</v>
      </c>
      <c r="C245" s="13"/>
      <c r="D245" s="10" t="s">
        <v>1209</v>
      </c>
      <c r="E245" s="27" t="s">
        <v>1127</v>
      </c>
      <c r="F245" s="20"/>
      <c r="G245" s="20"/>
      <c r="H245" s="15"/>
    </row>
    <row r="246" spans="1:8" s="43" customFormat="1" ht="36">
      <c r="A246" s="42">
        <f t="shared" si="3"/>
        <v>2</v>
      </c>
      <c r="B246" s="42" t="s">
        <v>1385</v>
      </c>
      <c r="C246" s="13"/>
      <c r="D246" s="14" t="s">
        <v>20</v>
      </c>
      <c r="E246" s="27" t="s">
        <v>1127</v>
      </c>
      <c r="F246" s="20"/>
      <c r="G246" s="20"/>
      <c r="H246" s="15"/>
    </row>
    <row r="247" spans="1:8" s="43" customFormat="1" ht="12">
      <c r="A247" s="42">
        <f t="shared" si="3"/>
        <v>2</v>
      </c>
      <c r="B247" s="42" t="s">
        <v>1385</v>
      </c>
      <c r="C247" s="13"/>
      <c r="D247" s="14" t="s">
        <v>606</v>
      </c>
      <c r="E247" s="27" t="s">
        <v>1127</v>
      </c>
      <c r="F247" s="20"/>
      <c r="G247" s="20"/>
      <c r="H247" s="15"/>
    </row>
    <row r="248" spans="1:8" s="43" customFormat="1" ht="12">
      <c r="A248" s="42">
        <f t="shared" si="3"/>
        <v>2</v>
      </c>
      <c r="B248" s="42" t="s">
        <v>1385</v>
      </c>
      <c r="C248" s="13"/>
      <c r="D248" s="14" t="s">
        <v>607</v>
      </c>
      <c r="E248" s="27" t="s">
        <v>1127</v>
      </c>
      <c r="F248" s="20"/>
      <c r="G248" s="20"/>
      <c r="H248" s="15"/>
    </row>
    <row r="249" spans="1:8" s="43" customFormat="1" ht="12">
      <c r="A249" s="42">
        <f t="shared" si="3"/>
        <v>2</v>
      </c>
      <c r="B249" s="42" t="s">
        <v>1385</v>
      </c>
      <c r="C249" s="13"/>
      <c r="D249" s="14" t="s">
        <v>627</v>
      </c>
      <c r="E249" s="27" t="s">
        <v>1127</v>
      </c>
      <c r="F249" s="20"/>
      <c r="G249" s="20"/>
      <c r="H249" s="15"/>
    </row>
    <row r="250" spans="1:8" s="43" customFormat="1" ht="24">
      <c r="A250" s="42">
        <f t="shared" si="3"/>
        <v>2</v>
      </c>
      <c r="B250" s="42" t="s">
        <v>1385</v>
      </c>
      <c r="C250" s="13"/>
      <c r="D250" s="14" t="s">
        <v>21</v>
      </c>
      <c r="E250" s="27" t="s">
        <v>1127</v>
      </c>
      <c r="F250" s="20"/>
      <c r="G250" s="20"/>
      <c r="H250" s="15"/>
    </row>
    <row r="251" spans="1:8" s="43" customFormat="1" ht="12">
      <c r="A251" s="42">
        <f t="shared" si="3"/>
        <v>2</v>
      </c>
      <c r="B251" s="42" t="s">
        <v>1385</v>
      </c>
      <c r="C251" s="13"/>
      <c r="D251" s="14" t="s">
        <v>609</v>
      </c>
      <c r="E251" s="27" t="s">
        <v>1127</v>
      </c>
      <c r="F251" s="20"/>
      <c r="G251" s="20"/>
      <c r="H251" s="15"/>
    </row>
    <row r="252" spans="1:8" s="43" customFormat="1" ht="12">
      <c r="A252" s="42">
        <f t="shared" si="3"/>
        <v>2</v>
      </c>
      <c r="B252" s="42" t="s">
        <v>1385</v>
      </c>
      <c r="C252" s="13"/>
      <c r="D252" s="14" t="s">
        <v>649</v>
      </c>
      <c r="E252" s="27" t="s">
        <v>1127</v>
      </c>
      <c r="F252" s="20"/>
      <c r="G252" s="20"/>
      <c r="H252" s="15"/>
    </row>
    <row r="253" spans="1:8" ht="12">
      <c r="A253" s="33">
        <f t="shared" si="3"/>
        <v>2</v>
      </c>
      <c r="B253" s="33" t="s">
        <v>1386</v>
      </c>
      <c r="C253" s="12" t="s">
        <v>1587</v>
      </c>
      <c r="D253" s="4" t="s">
        <v>22</v>
      </c>
      <c r="E253" s="22" t="s">
        <v>1206</v>
      </c>
      <c r="F253" s="16">
        <v>0</v>
      </c>
      <c r="H253" s="15">
        <f>ROUND((P_2_18.a Qté)*(P_2_18.a PU),2)</f>
        <v>0</v>
      </c>
    </row>
    <row r="254" spans="1:8" ht="12">
      <c r="A254" s="33">
        <f t="shared" si="3"/>
        <v>2</v>
      </c>
      <c r="B254" s="33" t="s">
        <v>1386</v>
      </c>
      <c r="C254" s="12" t="s">
        <v>1588</v>
      </c>
      <c r="D254" s="4" t="s">
        <v>23</v>
      </c>
      <c r="E254" s="22" t="s">
        <v>1206</v>
      </c>
      <c r="F254" s="16">
        <v>0</v>
      </c>
      <c r="H254" s="15">
        <f>ROUND((P_2_18.b Qté)*(P_2_18.b PU),2)</f>
        <v>0</v>
      </c>
    </row>
    <row r="255" spans="1:8" ht="12">
      <c r="A255" s="33">
        <f t="shared" si="3"/>
        <v>2</v>
      </c>
      <c r="B255" s="33" t="s">
        <v>1386</v>
      </c>
      <c r="C255" s="12" t="s">
        <v>1589</v>
      </c>
      <c r="D255" s="4" t="s">
        <v>24</v>
      </c>
      <c r="E255" s="22" t="s">
        <v>1206</v>
      </c>
      <c r="F255" s="16">
        <v>0</v>
      </c>
      <c r="H255" s="15">
        <f>ROUND((P_2_18.c Qté)*(P_2_18.c PU),2)</f>
        <v>0</v>
      </c>
    </row>
    <row r="256" spans="1:8" ht="12">
      <c r="A256" s="33">
        <f t="shared" si="3"/>
        <v>2</v>
      </c>
      <c r="B256" s="33" t="s">
        <v>1386</v>
      </c>
      <c r="C256" s="12" t="s">
        <v>1590</v>
      </c>
      <c r="D256" s="4" t="s">
        <v>25</v>
      </c>
      <c r="E256" s="22" t="s">
        <v>1206</v>
      </c>
      <c r="F256" s="16">
        <v>0</v>
      </c>
      <c r="H256" s="15">
        <f>ROUND((P_2_18.d Qté)*(P_2_18.d PU),2)</f>
        <v>0</v>
      </c>
    </row>
    <row r="257" spans="1:8" s="43" customFormat="1" ht="24">
      <c r="A257" s="42">
        <f t="shared" si="3"/>
        <v>2</v>
      </c>
      <c r="B257" s="42" t="s">
        <v>1385</v>
      </c>
      <c r="C257" s="13" t="s">
        <v>924</v>
      </c>
      <c r="D257" s="10" t="s">
        <v>1225</v>
      </c>
      <c r="E257" s="27" t="s">
        <v>1127</v>
      </c>
      <c r="F257" s="20"/>
      <c r="G257" s="20"/>
      <c r="H257" s="15"/>
    </row>
    <row r="258" spans="1:8" s="43" customFormat="1" ht="12">
      <c r="A258" s="42">
        <f t="shared" si="3"/>
        <v>2</v>
      </c>
      <c r="B258" s="42" t="s">
        <v>1385</v>
      </c>
      <c r="C258" s="13"/>
      <c r="D258" s="10" t="s">
        <v>1226</v>
      </c>
      <c r="E258" s="27" t="s">
        <v>1127</v>
      </c>
      <c r="F258" s="20"/>
      <c r="G258" s="20"/>
      <c r="H258" s="15"/>
    </row>
    <row r="259" spans="1:8" s="43" customFormat="1" ht="24">
      <c r="A259" s="42">
        <f t="shared" si="3"/>
        <v>2</v>
      </c>
      <c r="B259" s="42" t="s">
        <v>1385</v>
      </c>
      <c r="C259" s="13"/>
      <c r="D259" s="14" t="s">
        <v>26</v>
      </c>
      <c r="E259" s="27" t="s">
        <v>1127</v>
      </c>
      <c r="F259" s="20"/>
      <c r="G259" s="20"/>
      <c r="H259" s="15"/>
    </row>
    <row r="260" spans="1:8" s="43" customFormat="1" ht="12">
      <c r="A260" s="42">
        <f t="shared" si="3"/>
        <v>2</v>
      </c>
      <c r="B260" s="42" t="s">
        <v>1385</v>
      </c>
      <c r="C260" s="13"/>
      <c r="D260" s="14" t="s">
        <v>606</v>
      </c>
      <c r="E260" s="27" t="s">
        <v>1127</v>
      </c>
      <c r="F260" s="20"/>
      <c r="G260" s="20"/>
      <c r="H260" s="15"/>
    </row>
    <row r="261" spans="1:8" s="43" customFormat="1" ht="12">
      <c r="A261" s="42">
        <f aca="true" t="shared" si="4" ref="A261:A324">A260</f>
        <v>2</v>
      </c>
      <c r="B261" s="42" t="s">
        <v>1385</v>
      </c>
      <c r="C261" s="13"/>
      <c r="D261" s="14" t="s">
        <v>607</v>
      </c>
      <c r="E261" s="27" t="s">
        <v>1127</v>
      </c>
      <c r="F261" s="20"/>
      <c r="G261" s="20"/>
      <c r="H261" s="15"/>
    </row>
    <row r="262" spans="1:8" s="43" customFormat="1" ht="12">
      <c r="A262" s="42">
        <f t="shared" si="4"/>
        <v>2</v>
      </c>
      <c r="B262" s="42" t="s">
        <v>1385</v>
      </c>
      <c r="C262" s="13"/>
      <c r="D262" s="14" t="s">
        <v>627</v>
      </c>
      <c r="E262" s="27" t="s">
        <v>1127</v>
      </c>
      <c r="F262" s="20"/>
      <c r="G262" s="20"/>
      <c r="H262" s="15"/>
    </row>
    <row r="263" spans="1:8" s="43" customFormat="1" ht="24">
      <c r="A263" s="42">
        <f t="shared" si="4"/>
        <v>2</v>
      </c>
      <c r="B263" s="42" t="s">
        <v>1385</v>
      </c>
      <c r="C263" s="13"/>
      <c r="D263" s="14" t="s">
        <v>21</v>
      </c>
      <c r="E263" s="27" t="s">
        <v>1127</v>
      </c>
      <c r="F263" s="20"/>
      <c r="G263" s="20"/>
      <c r="H263" s="15"/>
    </row>
    <row r="264" spans="1:8" s="43" customFormat="1" ht="12">
      <c r="A264" s="42">
        <f t="shared" si="4"/>
        <v>2</v>
      </c>
      <c r="B264" s="42" t="s">
        <v>1385</v>
      </c>
      <c r="C264" s="13"/>
      <c r="D264" s="14" t="s">
        <v>609</v>
      </c>
      <c r="E264" s="27" t="s">
        <v>1127</v>
      </c>
      <c r="F264" s="20"/>
      <c r="G264" s="20"/>
      <c r="H264" s="15"/>
    </row>
    <row r="265" spans="1:8" s="43" customFormat="1" ht="12">
      <c r="A265" s="42">
        <f t="shared" si="4"/>
        <v>2</v>
      </c>
      <c r="B265" s="42" t="s">
        <v>1385</v>
      </c>
      <c r="C265" s="13"/>
      <c r="D265" s="14" t="s">
        <v>649</v>
      </c>
      <c r="E265" s="27" t="s">
        <v>1127</v>
      </c>
      <c r="F265" s="20"/>
      <c r="G265" s="20"/>
      <c r="H265" s="15"/>
    </row>
    <row r="266" spans="1:8" ht="24">
      <c r="A266" s="33">
        <f t="shared" si="4"/>
        <v>2</v>
      </c>
      <c r="B266" s="33" t="s">
        <v>1386</v>
      </c>
      <c r="C266" s="12" t="s">
        <v>1591</v>
      </c>
      <c r="D266" s="4" t="s">
        <v>27</v>
      </c>
      <c r="E266" s="22" t="s">
        <v>1227</v>
      </c>
      <c r="F266" s="16">
        <v>0</v>
      </c>
      <c r="H266" s="15">
        <f>ROUND((P_2_19.a Qté)*(P_2_19.a PU),2)</f>
        <v>0</v>
      </c>
    </row>
    <row r="267" spans="1:8" ht="24">
      <c r="A267" s="33">
        <f t="shared" si="4"/>
        <v>2</v>
      </c>
      <c r="B267" s="33" t="s">
        <v>1386</v>
      </c>
      <c r="C267" s="12" t="s">
        <v>1592</v>
      </c>
      <c r="D267" s="4" t="s">
        <v>28</v>
      </c>
      <c r="E267" s="22" t="s">
        <v>1227</v>
      </c>
      <c r="F267" s="16">
        <v>0</v>
      </c>
      <c r="H267" s="15">
        <f>ROUND((P_2_19.b Qté)*(P_2_19.b PU),2)</f>
        <v>0</v>
      </c>
    </row>
    <row r="268" spans="1:8" s="43" customFormat="1" ht="24">
      <c r="A268" s="42">
        <f t="shared" si="4"/>
        <v>2</v>
      </c>
      <c r="B268" s="42" t="s">
        <v>1385</v>
      </c>
      <c r="C268" s="13" t="s">
        <v>925</v>
      </c>
      <c r="D268" s="10" t="s">
        <v>1228</v>
      </c>
      <c r="E268" s="27" t="s">
        <v>1127</v>
      </c>
      <c r="F268" s="20"/>
      <c r="G268" s="20"/>
      <c r="H268" s="15"/>
    </row>
    <row r="269" spans="1:8" s="43" customFormat="1" ht="12">
      <c r="A269" s="42">
        <f t="shared" si="4"/>
        <v>2</v>
      </c>
      <c r="B269" s="42" t="s">
        <v>1385</v>
      </c>
      <c r="C269" s="13"/>
      <c r="D269" s="10" t="s">
        <v>1226</v>
      </c>
      <c r="E269" s="27" t="s">
        <v>1127</v>
      </c>
      <c r="F269" s="20"/>
      <c r="G269" s="20"/>
      <c r="H269" s="15"/>
    </row>
    <row r="270" spans="1:8" s="43" customFormat="1" ht="24">
      <c r="A270" s="42">
        <f t="shared" si="4"/>
        <v>2</v>
      </c>
      <c r="B270" s="42" t="s">
        <v>1385</v>
      </c>
      <c r="C270" s="13"/>
      <c r="D270" s="14" t="s">
        <v>29</v>
      </c>
      <c r="E270" s="27" t="s">
        <v>1127</v>
      </c>
      <c r="F270" s="20"/>
      <c r="G270" s="20"/>
      <c r="H270" s="15"/>
    </row>
    <row r="271" spans="1:8" s="43" customFormat="1" ht="12">
      <c r="A271" s="42">
        <f t="shared" si="4"/>
        <v>2</v>
      </c>
      <c r="B271" s="42" t="s">
        <v>1385</v>
      </c>
      <c r="C271" s="13"/>
      <c r="D271" s="14" t="s">
        <v>606</v>
      </c>
      <c r="E271" s="27" t="s">
        <v>1127</v>
      </c>
      <c r="F271" s="20"/>
      <c r="G271" s="20"/>
      <c r="H271" s="15"/>
    </row>
    <row r="272" spans="1:8" s="43" customFormat="1" ht="12">
      <c r="A272" s="42">
        <f t="shared" si="4"/>
        <v>2</v>
      </c>
      <c r="B272" s="42" t="s">
        <v>1385</v>
      </c>
      <c r="C272" s="13"/>
      <c r="D272" s="14" t="s">
        <v>607</v>
      </c>
      <c r="E272" s="27" t="s">
        <v>1127</v>
      </c>
      <c r="F272" s="20"/>
      <c r="G272" s="20"/>
      <c r="H272" s="15"/>
    </row>
    <row r="273" spans="1:8" s="43" customFormat="1" ht="12">
      <c r="A273" s="42">
        <f t="shared" si="4"/>
        <v>2</v>
      </c>
      <c r="B273" s="42" t="s">
        <v>1385</v>
      </c>
      <c r="C273" s="13"/>
      <c r="D273" s="14" t="s">
        <v>627</v>
      </c>
      <c r="E273" s="27" t="s">
        <v>1127</v>
      </c>
      <c r="F273" s="20"/>
      <c r="G273" s="20"/>
      <c r="H273" s="15"/>
    </row>
    <row r="274" spans="1:8" s="43" customFormat="1" ht="24">
      <c r="A274" s="42">
        <f t="shared" si="4"/>
        <v>2</v>
      </c>
      <c r="B274" s="42" t="s">
        <v>1385</v>
      </c>
      <c r="C274" s="13"/>
      <c r="D274" s="14" t="s">
        <v>21</v>
      </c>
      <c r="E274" s="27" t="s">
        <v>1127</v>
      </c>
      <c r="F274" s="20"/>
      <c r="G274" s="20"/>
      <c r="H274" s="15"/>
    </row>
    <row r="275" spans="1:8" s="43" customFormat="1" ht="12">
      <c r="A275" s="42">
        <f t="shared" si="4"/>
        <v>2</v>
      </c>
      <c r="B275" s="42" t="s">
        <v>1385</v>
      </c>
      <c r="C275" s="13"/>
      <c r="D275" s="14" t="s">
        <v>609</v>
      </c>
      <c r="E275" s="27" t="s">
        <v>1127</v>
      </c>
      <c r="F275" s="20"/>
      <c r="G275" s="20"/>
      <c r="H275" s="15"/>
    </row>
    <row r="276" spans="1:8" s="43" customFormat="1" ht="12">
      <c r="A276" s="42">
        <f t="shared" si="4"/>
        <v>2</v>
      </c>
      <c r="B276" s="42" t="s">
        <v>1385</v>
      </c>
      <c r="C276" s="13"/>
      <c r="D276" s="14" t="s">
        <v>649</v>
      </c>
      <c r="E276" s="27" t="s">
        <v>1127</v>
      </c>
      <c r="F276" s="20"/>
      <c r="G276" s="20"/>
      <c r="H276" s="15"/>
    </row>
    <row r="277" spans="1:8" ht="24">
      <c r="A277" s="33">
        <f t="shared" si="4"/>
        <v>2</v>
      </c>
      <c r="B277" s="33" t="s">
        <v>1386</v>
      </c>
      <c r="C277" s="12" t="s">
        <v>1593</v>
      </c>
      <c r="D277" s="4" t="s">
        <v>30</v>
      </c>
      <c r="E277" s="22" t="s">
        <v>1227</v>
      </c>
      <c r="F277" s="16">
        <v>0</v>
      </c>
      <c r="H277" s="15">
        <f>ROUND((P_2_20.a Qté)*(P_2_20.a PU),2)</f>
        <v>0</v>
      </c>
    </row>
    <row r="278" spans="1:8" ht="24">
      <c r="A278" s="33">
        <f t="shared" si="4"/>
        <v>2</v>
      </c>
      <c r="B278" s="33" t="s">
        <v>1386</v>
      </c>
      <c r="C278" s="12" t="s">
        <v>1594</v>
      </c>
      <c r="D278" s="4" t="s">
        <v>31</v>
      </c>
      <c r="E278" s="22" t="s">
        <v>1227</v>
      </c>
      <c r="F278" s="16">
        <v>0</v>
      </c>
      <c r="H278" s="15">
        <f>ROUND((P_2_20.b Qté)*(P_2_20.b PU),2)</f>
        <v>0</v>
      </c>
    </row>
    <row r="279" spans="1:8" ht="24">
      <c r="A279" s="33">
        <f t="shared" si="4"/>
        <v>2</v>
      </c>
      <c r="B279" s="33" t="s">
        <v>1386</v>
      </c>
      <c r="C279" s="12" t="s">
        <v>1595</v>
      </c>
      <c r="D279" s="4" t="s">
        <v>32</v>
      </c>
      <c r="E279" s="22" t="s">
        <v>1227</v>
      </c>
      <c r="F279" s="16">
        <v>0</v>
      </c>
      <c r="H279" s="15">
        <f>ROUND((P_2_20.c Qté)*(P_2_20.c PU),2)</f>
        <v>0</v>
      </c>
    </row>
    <row r="280" spans="1:8" ht="24">
      <c r="A280" s="33">
        <f t="shared" si="4"/>
        <v>2</v>
      </c>
      <c r="B280" s="33" t="s">
        <v>1386</v>
      </c>
      <c r="C280" s="12" t="s">
        <v>1596</v>
      </c>
      <c r="D280" s="4" t="s">
        <v>33</v>
      </c>
      <c r="E280" s="22" t="s">
        <v>1227</v>
      </c>
      <c r="F280" s="16">
        <v>0</v>
      </c>
      <c r="H280" s="15">
        <f>ROUND((P_2_20.d Qté)*(P_2_20.d PU),2)</f>
        <v>0</v>
      </c>
    </row>
    <row r="281" spans="1:8" s="43" customFormat="1" ht="12">
      <c r="A281" s="42">
        <f t="shared" si="4"/>
        <v>2</v>
      </c>
      <c r="B281" s="42" t="s">
        <v>1385</v>
      </c>
      <c r="C281" s="13"/>
      <c r="D281" s="10" t="s">
        <v>1229</v>
      </c>
      <c r="E281" s="27" t="s">
        <v>1127</v>
      </c>
      <c r="F281" s="20"/>
      <c r="G281" s="20"/>
      <c r="H281" s="15"/>
    </row>
    <row r="282" spans="1:8" s="43" customFormat="1" ht="12">
      <c r="A282" s="42">
        <f t="shared" si="4"/>
        <v>2</v>
      </c>
      <c r="B282" s="42" t="s">
        <v>1385</v>
      </c>
      <c r="C282" s="13"/>
      <c r="D282" s="10" t="s">
        <v>739</v>
      </c>
      <c r="E282" s="27" t="s">
        <v>1127</v>
      </c>
      <c r="F282" s="20"/>
      <c r="G282" s="20"/>
      <c r="H282" s="15"/>
    </row>
    <row r="283" spans="1:8" s="43" customFormat="1" ht="12">
      <c r="A283" s="42">
        <f t="shared" si="4"/>
        <v>2</v>
      </c>
      <c r="B283" s="42" t="s">
        <v>1385</v>
      </c>
      <c r="C283" s="13" t="s">
        <v>926</v>
      </c>
      <c r="D283" s="10" t="s">
        <v>740</v>
      </c>
      <c r="E283" s="27" t="s">
        <v>1127</v>
      </c>
      <c r="F283" s="20"/>
      <c r="G283" s="20"/>
      <c r="H283" s="15"/>
    </row>
    <row r="284" spans="1:8" s="43" customFormat="1" ht="12">
      <c r="A284" s="42">
        <f t="shared" si="4"/>
        <v>2</v>
      </c>
      <c r="B284" s="42" t="s">
        <v>1385</v>
      </c>
      <c r="C284" s="13"/>
      <c r="D284" s="10" t="s">
        <v>1226</v>
      </c>
      <c r="E284" s="27" t="s">
        <v>1127</v>
      </c>
      <c r="F284" s="20"/>
      <c r="G284" s="20"/>
      <c r="H284" s="15"/>
    </row>
    <row r="285" spans="1:8" s="43" customFormat="1" ht="24">
      <c r="A285" s="42">
        <f t="shared" si="4"/>
        <v>2</v>
      </c>
      <c r="B285" s="42" t="s">
        <v>1385</v>
      </c>
      <c r="C285" s="13"/>
      <c r="D285" s="14" t="s">
        <v>34</v>
      </c>
      <c r="E285" s="27" t="s">
        <v>1127</v>
      </c>
      <c r="F285" s="20"/>
      <c r="G285" s="20"/>
      <c r="H285" s="15"/>
    </row>
    <row r="286" spans="1:8" s="43" customFormat="1" ht="12">
      <c r="A286" s="42">
        <f t="shared" si="4"/>
        <v>2</v>
      </c>
      <c r="B286" s="42" t="s">
        <v>1385</v>
      </c>
      <c r="C286" s="13"/>
      <c r="D286" s="14" t="s">
        <v>606</v>
      </c>
      <c r="E286" s="27" t="s">
        <v>1127</v>
      </c>
      <c r="F286" s="20"/>
      <c r="G286" s="20"/>
      <c r="H286" s="15"/>
    </row>
    <row r="287" spans="1:8" s="43" customFormat="1" ht="12">
      <c r="A287" s="42">
        <f t="shared" si="4"/>
        <v>2</v>
      </c>
      <c r="B287" s="42" t="s">
        <v>1385</v>
      </c>
      <c r="C287" s="13"/>
      <c r="D287" s="14" t="s">
        <v>607</v>
      </c>
      <c r="E287" s="27" t="s">
        <v>1127</v>
      </c>
      <c r="F287" s="20"/>
      <c r="G287" s="20"/>
      <c r="H287" s="15"/>
    </row>
    <row r="288" spans="1:8" s="43" customFormat="1" ht="12">
      <c r="A288" s="42">
        <f t="shared" si="4"/>
        <v>2</v>
      </c>
      <c r="B288" s="42" t="s">
        <v>1385</v>
      </c>
      <c r="C288" s="13"/>
      <c r="D288" s="14" t="s">
        <v>627</v>
      </c>
      <c r="E288" s="27" t="s">
        <v>1127</v>
      </c>
      <c r="F288" s="20"/>
      <c r="G288" s="20"/>
      <c r="H288" s="15"/>
    </row>
    <row r="289" spans="1:8" s="43" customFormat="1" ht="24">
      <c r="A289" s="42">
        <f t="shared" si="4"/>
        <v>2</v>
      </c>
      <c r="B289" s="42" t="s">
        <v>1385</v>
      </c>
      <c r="C289" s="13"/>
      <c r="D289" s="14" t="s">
        <v>21</v>
      </c>
      <c r="E289" s="27" t="s">
        <v>1127</v>
      </c>
      <c r="F289" s="20"/>
      <c r="G289" s="20"/>
      <c r="H289" s="15"/>
    </row>
    <row r="290" spans="1:8" s="43" customFormat="1" ht="12">
      <c r="A290" s="42">
        <f t="shared" si="4"/>
        <v>2</v>
      </c>
      <c r="B290" s="42" t="s">
        <v>1385</v>
      </c>
      <c r="C290" s="13"/>
      <c r="D290" s="14" t="s">
        <v>609</v>
      </c>
      <c r="E290" s="27" t="s">
        <v>1127</v>
      </c>
      <c r="F290" s="20"/>
      <c r="G290" s="20"/>
      <c r="H290" s="15"/>
    </row>
    <row r="291" spans="1:8" s="43" customFormat="1" ht="12">
      <c r="A291" s="42">
        <f t="shared" si="4"/>
        <v>2</v>
      </c>
      <c r="B291" s="42" t="s">
        <v>1385</v>
      </c>
      <c r="C291" s="13"/>
      <c r="D291" s="14" t="s">
        <v>649</v>
      </c>
      <c r="E291" s="27" t="s">
        <v>1127</v>
      </c>
      <c r="F291" s="20"/>
      <c r="G291" s="20"/>
      <c r="H291" s="15"/>
    </row>
    <row r="292" spans="1:8" ht="24">
      <c r="A292" s="33">
        <f t="shared" si="4"/>
        <v>2</v>
      </c>
      <c r="B292" s="33" t="s">
        <v>1386</v>
      </c>
      <c r="C292" s="12" t="s">
        <v>1597</v>
      </c>
      <c r="D292" s="4" t="s">
        <v>35</v>
      </c>
      <c r="E292" s="22" t="s">
        <v>1227</v>
      </c>
      <c r="F292" s="16">
        <v>0</v>
      </c>
      <c r="H292" s="15">
        <f>ROUND((P_2_21.a Qté)*(P_2_21.a PU),2)</f>
        <v>0</v>
      </c>
    </row>
    <row r="293" spans="1:8" ht="24">
      <c r="A293" s="33">
        <f t="shared" si="4"/>
        <v>2</v>
      </c>
      <c r="B293" s="33" t="s">
        <v>1386</v>
      </c>
      <c r="C293" s="12" t="s">
        <v>1372</v>
      </c>
      <c r="D293" s="4" t="s">
        <v>36</v>
      </c>
      <c r="E293" s="22" t="s">
        <v>1227</v>
      </c>
      <c r="F293" s="16">
        <v>0</v>
      </c>
      <c r="H293" s="15">
        <f>ROUND((P_2_21.b Qté)*(P_2_21.b PU),2)</f>
        <v>0</v>
      </c>
    </row>
    <row r="294" spans="1:8" s="43" customFormat="1" ht="12">
      <c r="A294" s="42">
        <f t="shared" si="4"/>
        <v>2</v>
      </c>
      <c r="B294" s="42" t="s">
        <v>1385</v>
      </c>
      <c r="C294" s="13"/>
      <c r="D294" s="10" t="s">
        <v>1229</v>
      </c>
      <c r="E294" s="27" t="s">
        <v>1127</v>
      </c>
      <c r="F294" s="20"/>
      <c r="G294" s="20"/>
      <c r="H294" s="15"/>
    </row>
    <row r="295" spans="1:8" s="43" customFormat="1" ht="12">
      <c r="A295" s="42">
        <f t="shared" si="4"/>
        <v>2</v>
      </c>
      <c r="B295" s="42" t="s">
        <v>1385</v>
      </c>
      <c r="C295" s="13"/>
      <c r="D295" s="10" t="s">
        <v>739</v>
      </c>
      <c r="E295" s="27" t="s">
        <v>1127</v>
      </c>
      <c r="F295" s="20"/>
      <c r="G295" s="20"/>
      <c r="H295" s="15"/>
    </row>
    <row r="296" spans="1:8" s="43" customFormat="1" ht="12">
      <c r="A296" s="42">
        <f t="shared" si="4"/>
        <v>2</v>
      </c>
      <c r="B296" s="42" t="s">
        <v>1385</v>
      </c>
      <c r="C296" s="13" t="s">
        <v>927</v>
      </c>
      <c r="D296" s="10" t="s">
        <v>741</v>
      </c>
      <c r="E296" s="27" t="s">
        <v>1127</v>
      </c>
      <c r="F296" s="20"/>
      <c r="G296" s="20"/>
      <c r="H296" s="15"/>
    </row>
    <row r="297" spans="1:8" s="43" customFormat="1" ht="12">
      <c r="A297" s="42">
        <f t="shared" si="4"/>
        <v>2</v>
      </c>
      <c r="B297" s="42" t="s">
        <v>1385</v>
      </c>
      <c r="C297" s="13"/>
      <c r="D297" s="10" t="s">
        <v>1209</v>
      </c>
      <c r="E297" s="27" t="s">
        <v>1127</v>
      </c>
      <c r="F297" s="20"/>
      <c r="G297" s="20"/>
      <c r="H297" s="15"/>
    </row>
    <row r="298" spans="1:8" s="43" customFormat="1" ht="12">
      <c r="A298" s="42">
        <f t="shared" si="4"/>
        <v>2</v>
      </c>
      <c r="B298" s="42" t="s">
        <v>1385</v>
      </c>
      <c r="C298" s="13"/>
      <c r="D298" s="14" t="s">
        <v>37</v>
      </c>
      <c r="E298" s="27" t="s">
        <v>1127</v>
      </c>
      <c r="F298" s="20"/>
      <c r="G298" s="20"/>
      <c r="H298" s="15"/>
    </row>
    <row r="299" spans="1:8" s="43" customFormat="1" ht="12">
      <c r="A299" s="42">
        <f t="shared" si="4"/>
        <v>2</v>
      </c>
      <c r="B299" s="42" t="s">
        <v>1385</v>
      </c>
      <c r="C299" s="13"/>
      <c r="D299" s="14" t="s">
        <v>606</v>
      </c>
      <c r="E299" s="27" t="s">
        <v>1127</v>
      </c>
      <c r="F299" s="20"/>
      <c r="G299" s="20"/>
      <c r="H299" s="15"/>
    </row>
    <row r="300" spans="1:8" s="43" customFormat="1" ht="12">
      <c r="A300" s="42">
        <f t="shared" si="4"/>
        <v>2</v>
      </c>
      <c r="B300" s="42" t="s">
        <v>1385</v>
      </c>
      <c r="C300" s="13"/>
      <c r="D300" s="14" t="s">
        <v>607</v>
      </c>
      <c r="E300" s="27" t="s">
        <v>1127</v>
      </c>
      <c r="F300" s="20"/>
      <c r="G300" s="20"/>
      <c r="H300" s="15"/>
    </row>
    <row r="301" spans="1:8" s="43" customFormat="1" ht="12">
      <c r="A301" s="42">
        <f t="shared" si="4"/>
        <v>2</v>
      </c>
      <c r="B301" s="42" t="s">
        <v>1385</v>
      </c>
      <c r="C301" s="13"/>
      <c r="D301" s="14" t="s">
        <v>627</v>
      </c>
      <c r="E301" s="27" t="s">
        <v>1127</v>
      </c>
      <c r="F301" s="20"/>
      <c r="G301" s="20"/>
      <c r="H301" s="15"/>
    </row>
    <row r="302" spans="1:8" s="43" customFormat="1" ht="36">
      <c r="A302" s="42">
        <f t="shared" si="4"/>
        <v>2</v>
      </c>
      <c r="B302" s="42" t="s">
        <v>1385</v>
      </c>
      <c r="C302" s="13"/>
      <c r="D302" s="14" t="s">
        <v>38</v>
      </c>
      <c r="E302" s="27" t="s">
        <v>1127</v>
      </c>
      <c r="F302" s="20"/>
      <c r="G302" s="20"/>
      <c r="H302" s="15"/>
    </row>
    <row r="303" spans="1:8" s="43" customFormat="1" ht="12">
      <c r="A303" s="42">
        <f t="shared" si="4"/>
        <v>2</v>
      </c>
      <c r="B303" s="42" t="s">
        <v>1385</v>
      </c>
      <c r="C303" s="13"/>
      <c r="D303" s="14" t="s">
        <v>609</v>
      </c>
      <c r="E303" s="27" t="s">
        <v>1127</v>
      </c>
      <c r="F303" s="20"/>
      <c r="G303" s="20"/>
      <c r="H303" s="15"/>
    </row>
    <row r="304" spans="1:8" s="43" customFormat="1" ht="12">
      <c r="A304" s="42">
        <f t="shared" si="4"/>
        <v>2</v>
      </c>
      <c r="B304" s="42" t="s">
        <v>1385</v>
      </c>
      <c r="C304" s="13"/>
      <c r="D304" s="14" t="s">
        <v>649</v>
      </c>
      <c r="E304" s="27" t="s">
        <v>1127</v>
      </c>
      <c r="F304" s="20"/>
      <c r="G304" s="20"/>
      <c r="H304" s="15"/>
    </row>
    <row r="305" spans="1:8" ht="12">
      <c r="A305" s="33">
        <f t="shared" si="4"/>
        <v>2</v>
      </c>
      <c r="B305" s="33" t="s">
        <v>1386</v>
      </c>
      <c r="C305" s="12" t="s">
        <v>1598</v>
      </c>
      <c r="D305" s="4" t="s">
        <v>39</v>
      </c>
      <c r="E305" s="22" t="s">
        <v>1206</v>
      </c>
      <c r="F305" s="16">
        <v>0</v>
      </c>
      <c r="H305" s="15">
        <f>ROUND((P_2_22.a Qté)*(P_2_22.a PU),2)</f>
        <v>0</v>
      </c>
    </row>
    <row r="306" spans="1:8" ht="12">
      <c r="A306" s="33">
        <f t="shared" si="4"/>
        <v>2</v>
      </c>
      <c r="B306" s="33" t="s">
        <v>1386</v>
      </c>
      <c r="C306" s="12" t="s">
        <v>1599</v>
      </c>
      <c r="D306" s="4" t="s">
        <v>40</v>
      </c>
      <c r="E306" s="22" t="s">
        <v>1206</v>
      </c>
      <c r="F306" s="16">
        <v>0</v>
      </c>
      <c r="H306" s="15">
        <f>ROUND((P_2_22.b Qté)*(P_2_22.b PU),2)</f>
        <v>0</v>
      </c>
    </row>
    <row r="307" spans="1:8" ht="13.5" customHeight="1">
      <c r="A307" s="33">
        <f t="shared" si="4"/>
        <v>2</v>
      </c>
      <c r="B307" s="33" t="s">
        <v>1386</v>
      </c>
      <c r="C307" s="12" t="s">
        <v>1600</v>
      </c>
      <c r="D307" s="4" t="s">
        <v>41</v>
      </c>
      <c r="E307" s="22" t="s">
        <v>1206</v>
      </c>
      <c r="F307" s="16">
        <v>0</v>
      </c>
      <c r="H307" s="15">
        <f>ROUND((P_2_22.c Qté)*(P_2_22.c PU),2)</f>
        <v>0</v>
      </c>
    </row>
    <row r="308" spans="1:8" s="43" customFormat="1" ht="12">
      <c r="A308" s="42">
        <f t="shared" si="4"/>
        <v>2</v>
      </c>
      <c r="B308" s="42" t="s">
        <v>1385</v>
      </c>
      <c r="C308" s="13" t="s">
        <v>928</v>
      </c>
      <c r="D308" s="10" t="s">
        <v>742</v>
      </c>
      <c r="E308" s="27" t="s">
        <v>1127</v>
      </c>
      <c r="F308" s="20"/>
      <c r="G308" s="20"/>
      <c r="H308" s="15"/>
    </row>
    <row r="309" spans="1:8" s="43" customFormat="1" ht="12">
      <c r="A309" s="42">
        <f t="shared" si="4"/>
        <v>2</v>
      </c>
      <c r="B309" s="42" t="s">
        <v>1385</v>
      </c>
      <c r="C309" s="13"/>
      <c r="D309" s="10" t="s">
        <v>1209</v>
      </c>
      <c r="E309" s="27" t="s">
        <v>1127</v>
      </c>
      <c r="F309" s="20"/>
      <c r="G309" s="20"/>
      <c r="H309" s="15"/>
    </row>
    <row r="310" spans="1:8" s="43" customFormat="1" ht="24">
      <c r="A310" s="42">
        <f t="shared" si="4"/>
        <v>2</v>
      </c>
      <c r="B310" s="42" t="s">
        <v>1385</v>
      </c>
      <c r="C310" s="13"/>
      <c r="D310" s="14" t="s">
        <v>42</v>
      </c>
      <c r="E310" s="27" t="s">
        <v>1127</v>
      </c>
      <c r="F310" s="20"/>
      <c r="G310" s="20"/>
      <c r="H310" s="15"/>
    </row>
    <row r="311" spans="1:8" s="43" customFormat="1" ht="12">
      <c r="A311" s="42">
        <f t="shared" si="4"/>
        <v>2</v>
      </c>
      <c r="B311" s="42" t="s">
        <v>1385</v>
      </c>
      <c r="C311" s="13"/>
      <c r="D311" s="14" t="s">
        <v>606</v>
      </c>
      <c r="E311" s="27" t="s">
        <v>1127</v>
      </c>
      <c r="F311" s="20"/>
      <c r="G311" s="20"/>
      <c r="H311" s="15"/>
    </row>
    <row r="312" spans="1:8" s="43" customFormat="1" ht="12">
      <c r="A312" s="42">
        <f t="shared" si="4"/>
        <v>2</v>
      </c>
      <c r="B312" s="42" t="s">
        <v>1385</v>
      </c>
      <c r="C312" s="13"/>
      <c r="D312" s="14" t="s">
        <v>607</v>
      </c>
      <c r="E312" s="27" t="s">
        <v>1127</v>
      </c>
      <c r="F312" s="20"/>
      <c r="G312" s="20"/>
      <c r="H312" s="15"/>
    </row>
    <row r="313" spans="1:8" s="43" customFormat="1" ht="12">
      <c r="A313" s="42">
        <f t="shared" si="4"/>
        <v>2</v>
      </c>
      <c r="B313" s="42" t="s">
        <v>1385</v>
      </c>
      <c r="C313" s="13"/>
      <c r="D313" s="14" t="s">
        <v>627</v>
      </c>
      <c r="E313" s="27" t="s">
        <v>1127</v>
      </c>
      <c r="F313" s="20"/>
      <c r="G313" s="20"/>
      <c r="H313" s="15"/>
    </row>
    <row r="314" spans="1:8" s="43" customFormat="1" ht="36">
      <c r="A314" s="42">
        <f t="shared" si="4"/>
        <v>2</v>
      </c>
      <c r="B314" s="42" t="s">
        <v>1385</v>
      </c>
      <c r="C314" s="13"/>
      <c r="D314" s="14" t="s">
        <v>43</v>
      </c>
      <c r="E314" s="27" t="s">
        <v>1127</v>
      </c>
      <c r="F314" s="20"/>
      <c r="G314" s="20"/>
      <c r="H314" s="15"/>
    </row>
    <row r="315" spans="1:8" s="43" customFormat="1" ht="12">
      <c r="A315" s="42">
        <f t="shared" si="4"/>
        <v>2</v>
      </c>
      <c r="B315" s="42" t="s">
        <v>1385</v>
      </c>
      <c r="C315" s="13"/>
      <c r="D315" s="14" t="s">
        <v>609</v>
      </c>
      <c r="E315" s="27" t="s">
        <v>1127</v>
      </c>
      <c r="F315" s="20"/>
      <c r="G315" s="20"/>
      <c r="H315" s="15"/>
    </row>
    <row r="316" spans="1:8" s="43" customFormat="1" ht="12">
      <c r="A316" s="42">
        <f t="shared" si="4"/>
        <v>2</v>
      </c>
      <c r="B316" s="42" t="s">
        <v>1385</v>
      </c>
      <c r="C316" s="13"/>
      <c r="D316" s="14" t="s">
        <v>649</v>
      </c>
      <c r="E316" s="27" t="s">
        <v>1127</v>
      </c>
      <c r="F316" s="20"/>
      <c r="G316" s="20"/>
      <c r="H316" s="15"/>
    </row>
    <row r="317" spans="1:8" ht="12">
      <c r="A317" s="33">
        <f t="shared" si="4"/>
        <v>2</v>
      </c>
      <c r="B317" s="33" t="s">
        <v>1386</v>
      </c>
      <c r="C317" s="12" t="s">
        <v>1601</v>
      </c>
      <c r="D317" s="4" t="s">
        <v>44</v>
      </c>
      <c r="E317" s="22" t="s">
        <v>1206</v>
      </c>
      <c r="F317" s="16">
        <v>0</v>
      </c>
      <c r="H317" s="15">
        <f>ROUND((P_2_23.a Qté)*(P_2_23.a PU),2)</f>
        <v>0</v>
      </c>
    </row>
    <row r="318" spans="1:8" ht="12">
      <c r="A318" s="33">
        <f t="shared" si="4"/>
        <v>2</v>
      </c>
      <c r="B318" s="33" t="s">
        <v>1386</v>
      </c>
      <c r="C318" s="12" t="s">
        <v>1602</v>
      </c>
      <c r="D318" s="4" t="s">
        <v>45</v>
      </c>
      <c r="E318" s="22" t="s">
        <v>1206</v>
      </c>
      <c r="F318" s="16">
        <v>0</v>
      </c>
      <c r="H318" s="15">
        <f>ROUND((P_2_23.b Qté)*(P_2_23.b PU),2)</f>
        <v>0</v>
      </c>
    </row>
    <row r="319" spans="1:8" ht="12">
      <c r="A319" s="33">
        <f t="shared" si="4"/>
        <v>2</v>
      </c>
      <c r="B319" s="33" t="s">
        <v>1386</v>
      </c>
      <c r="C319" s="12" t="s">
        <v>1603</v>
      </c>
      <c r="D319" s="4" t="s">
        <v>46</v>
      </c>
      <c r="E319" s="22" t="s">
        <v>1206</v>
      </c>
      <c r="F319" s="16">
        <v>0</v>
      </c>
      <c r="H319" s="15">
        <f>ROUND((P_2_23.c Qté)*(P_2_23.c PU),2)</f>
        <v>0</v>
      </c>
    </row>
    <row r="320" spans="1:8" ht="12">
      <c r="A320" s="33">
        <f t="shared" si="4"/>
        <v>2</v>
      </c>
      <c r="B320" s="33" t="s">
        <v>1386</v>
      </c>
      <c r="C320" s="12" t="s">
        <v>1604</v>
      </c>
      <c r="D320" s="4" t="s">
        <v>47</v>
      </c>
      <c r="E320" s="22" t="s">
        <v>1206</v>
      </c>
      <c r="F320" s="16">
        <v>0</v>
      </c>
      <c r="H320" s="15">
        <f>ROUND((P_2_23.d Qté)*(P_2_23.d PU),2)</f>
        <v>0</v>
      </c>
    </row>
    <row r="321" spans="1:8" ht="12">
      <c r="A321" s="33">
        <f t="shared" si="4"/>
        <v>2</v>
      </c>
      <c r="B321" s="33" t="s">
        <v>1386</v>
      </c>
      <c r="C321" s="12" t="s">
        <v>929</v>
      </c>
      <c r="D321" s="4" t="s">
        <v>743</v>
      </c>
      <c r="E321" s="22" t="s">
        <v>1206</v>
      </c>
      <c r="F321" s="16">
        <v>0</v>
      </c>
      <c r="H321" s="15">
        <f>ROUND((P_2_24 Qté)*(P_2_24 PU),2)</f>
        <v>0</v>
      </c>
    </row>
    <row r="322" spans="1:8" s="43" customFormat="1" ht="12">
      <c r="A322" s="42">
        <f t="shared" si="4"/>
        <v>2</v>
      </c>
      <c r="B322" s="42" t="s">
        <v>1385</v>
      </c>
      <c r="C322" s="13"/>
      <c r="D322" s="10" t="s">
        <v>1209</v>
      </c>
      <c r="E322" s="27" t="s">
        <v>1127</v>
      </c>
      <c r="F322" s="20"/>
      <c r="G322" s="20"/>
      <c r="H322" s="15"/>
    </row>
    <row r="323" spans="1:8" s="43" customFormat="1" ht="24">
      <c r="A323" s="42">
        <f t="shared" si="4"/>
        <v>2</v>
      </c>
      <c r="B323" s="42" t="s">
        <v>1385</v>
      </c>
      <c r="C323" s="13"/>
      <c r="D323" s="14" t="s">
        <v>48</v>
      </c>
      <c r="E323" s="27" t="s">
        <v>1127</v>
      </c>
      <c r="F323" s="20"/>
      <c r="G323" s="20"/>
      <c r="H323" s="15"/>
    </row>
    <row r="324" spans="1:8" s="43" customFormat="1" ht="12">
      <c r="A324" s="42">
        <f t="shared" si="4"/>
        <v>2</v>
      </c>
      <c r="B324" s="42" t="s">
        <v>1385</v>
      </c>
      <c r="C324" s="13"/>
      <c r="D324" s="14" t="s">
        <v>606</v>
      </c>
      <c r="E324" s="27" t="s">
        <v>1127</v>
      </c>
      <c r="F324" s="20"/>
      <c r="G324" s="20"/>
      <c r="H324" s="15"/>
    </row>
    <row r="325" spans="1:8" s="43" customFormat="1" ht="12">
      <c r="A325" s="42">
        <f aca="true" t="shared" si="5" ref="A325:A388">A324</f>
        <v>2</v>
      </c>
      <c r="B325" s="42" t="s">
        <v>1385</v>
      </c>
      <c r="C325" s="13"/>
      <c r="D325" s="14" t="s">
        <v>607</v>
      </c>
      <c r="E325" s="27" t="s">
        <v>1127</v>
      </c>
      <c r="F325" s="20"/>
      <c r="G325" s="20"/>
      <c r="H325" s="15"/>
    </row>
    <row r="326" spans="1:8" s="43" customFormat="1" ht="12">
      <c r="A326" s="42">
        <f t="shared" si="5"/>
        <v>2</v>
      </c>
      <c r="B326" s="42" t="s">
        <v>1385</v>
      </c>
      <c r="C326" s="13"/>
      <c r="D326" s="14" t="s">
        <v>627</v>
      </c>
      <c r="E326" s="27" t="s">
        <v>1127</v>
      </c>
      <c r="F326" s="20"/>
      <c r="G326" s="20"/>
      <c r="H326" s="15"/>
    </row>
    <row r="327" spans="1:8" s="43" customFormat="1" ht="36">
      <c r="A327" s="42">
        <f t="shared" si="5"/>
        <v>2</v>
      </c>
      <c r="B327" s="42" t="s">
        <v>1385</v>
      </c>
      <c r="C327" s="13"/>
      <c r="D327" s="14" t="s">
        <v>49</v>
      </c>
      <c r="E327" s="27" t="s">
        <v>1127</v>
      </c>
      <c r="F327" s="20"/>
      <c r="G327" s="20"/>
      <c r="H327" s="15"/>
    </row>
    <row r="328" spans="1:8" s="43" customFormat="1" ht="12">
      <c r="A328" s="42">
        <f t="shared" si="5"/>
        <v>2</v>
      </c>
      <c r="B328" s="42" t="s">
        <v>1385</v>
      </c>
      <c r="C328" s="13"/>
      <c r="D328" s="14" t="s">
        <v>609</v>
      </c>
      <c r="E328" s="27" t="s">
        <v>1127</v>
      </c>
      <c r="F328" s="20"/>
      <c r="G328" s="20"/>
      <c r="H328" s="15"/>
    </row>
    <row r="329" spans="1:8" s="43" customFormat="1" ht="12">
      <c r="A329" s="42">
        <f t="shared" si="5"/>
        <v>2</v>
      </c>
      <c r="B329" s="42" t="s">
        <v>1385</v>
      </c>
      <c r="C329" s="13"/>
      <c r="D329" s="14" t="s">
        <v>649</v>
      </c>
      <c r="E329" s="27" t="s">
        <v>1127</v>
      </c>
      <c r="F329" s="20"/>
      <c r="G329" s="20"/>
      <c r="H329" s="15"/>
    </row>
    <row r="330" spans="1:8" s="43" customFormat="1" ht="24">
      <c r="A330" s="42">
        <f t="shared" si="5"/>
        <v>2</v>
      </c>
      <c r="B330" s="42" t="s">
        <v>1385</v>
      </c>
      <c r="C330" s="13" t="s">
        <v>930</v>
      </c>
      <c r="D330" s="10" t="s">
        <v>744</v>
      </c>
      <c r="E330" s="27" t="s">
        <v>1127</v>
      </c>
      <c r="F330" s="20"/>
      <c r="G330" s="20"/>
      <c r="H330" s="15"/>
    </row>
    <row r="331" spans="1:8" s="43" customFormat="1" ht="12">
      <c r="A331" s="42">
        <f t="shared" si="5"/>
        <v>2</v>
      </c>
      <c r="B331" s="42" t="s">
        <v>1385</v>
      </c>
      <c r="C331" s="13"/>
      <c r="D331" s="10" t="s">
        <v>1226</v>
      </c>
      <c r="E331" s="27" t="s">
        <v>1127</v>
      </c>
      <c r="F331" s="20"/>
      <c r="G331" s="20"/>
      <c r="H331" s="15"/>
    </row>
    <row r="332" spans="1:8" s="43" customFormat="1" ht="24">
      <c r="A332" s="42">
        <f t="shared" si="5"/>
        <v>2</v>
      </c>
      <c r="B332" s="42" t="s">
        <v>1385</v>
      </c>
      <c r="C332" s="13"/>
      <c r="D332" s="14" t="s">
        <v>50</v>
      </c>
      <c r="E332" s="27" t="s">
        <v>1127</v>
      </c>
      <c r="F332" s="20"/>
      <c r="G332" s="20"/>
      <c r="H332" s="15"/>
    </row>
    <row r="333" spans="1:8" s="43" customFormat="1" ht="12">
      <c r="A333" s="42">
        <f t="shared" si="5"/>
        <v>2</v>
      </c>
      <c r="B333" s="42" t="s">
        <v>1385</v>
      </c>
      <c r="C333" s="13"/>
      <c r="D333" s="14" t="s">
        <v>606</v>
      </c>
      <c r="E333" s="27" t="s">
        <v>1127</v>
      </c>
      <c r="F333" s="20"/>
      <c r="G333" s="20"/>
      <c r="H333" s="15"/>
    </row>
    <row r="334" spans="1:8" s="43" customFormat="1" ht="12">
      <c r="A334" s="42">
        <f t="shared" si="5"/>
        <v>2</v>
      </c>
      <c r="B334" s="42" t="s">
        <v>1385</v>
      </c>
      <c r="C334" s="13"/>
      <c r="D334" s="14" t="s">
        <v>607</v>
      </c>
      <c r="E334" s="27" t="s">
        <v>1127</v>
      </c>
      <c r="F334" s="20"/>
      <c r="G334" s="20"/>
      <c r="H334" s="15"/>
    </row>
    <row r="335" spans="1:8" s="43" customFormat="1" ht="12">
      <c r="A335" s="42">
        <f t="shared" si="5"/>
        <v>2</v>
      </c>
      <c r="B335" s="42" t="s">
        <v>1385</v>
      </c>
      <c r="C335" s="13"/>
      <c r="D335" s="14" t="s">
        <v>627</v>
      </c>
      <c r="E335" s="27" t="s">
        <v>1127</v>
      </c>
      <c r="F335" s="20"/>
      <c r="G335" s="20"/>
      <c r="H335" s="15"/>
    </row>
    <row r="336" spans="1:8" s="43" customFormat="1" ht="12">
      <c r="A336" s="42">
        <f t="shared" si="5"/>
        <v>2</v>
      </c>
      <c r="B336" s="42" t="s">
        <v>1385</v>
      </c>
      <c r="C336" s="13"/>
      <c r="D336" s="14" t="s">
        <v>609</v>
      </c>
      <c r="E336" s="27" t="s">
        <v>1127</v>
      </c>
      <c r="F336" s="20"/>
      <c r="G336" s="20"/>
      <c r="H336" s="15"/>
    </row>
    <row r="337" spans="1:8" s="43" customFormat="1" ht="12">
      <c r="A337" s="42">
        <f t="shared" si="5"/>
        <v>2</v>
      </c>
      <c r="B337" s="42" t="s">
        <v>1385</v>
      </c>
      <c r="C337" s="13"/>
      <c r="D337" s="14" t="s">
        <v>649</v>
      </c>
      <c r="E337" s="27" t="s">
        <v>1127</v>
      </c>
      <c r="F337" s="20"/>
      <c r="G337" s="20"/>
      <c r="H337" s="15"/>
    </row>
    <row r="338" spans="1:8" s="43" customFormat="1" ht="24">
      <c r="A338" s="42">
        <f t="shared" si="5"/>
        <v>2</v>
      </c>
      <c r="B338" s="42" t="s">
        <v>1385</v>
      </c>
      <c r="C338" s="13"/>
      <c r="D338" s="10" t="s">
        <v>745</v>
      </c>
      <c r="E338" s="27" t="s">
        <v>1127</v>
      </c>
      <c r="F338" s="20"/>
      <c r="G338" s="20"/>
      <c r="H338" s="15"/>
    </row>
    <row r="339" spans="1:8" ht="12">
      <c r="A339" s="33">
        <f t="shared" si="5"/>
        <v>2</v>
      </c>
      <c r="B339" s="33" t="s">
        <v>1386</v>
      </c>
      <c r="C339" s="12" t="s">
        <v>1605</v>
      </c>
      <c r="D339" s="4" t="s">
        <v>51</v>
      </c>
      <c r="E339" s="22" t="s">
        <v>1227</v>
      </c>
      <c r="F339" s="16">
        <v>0</v>
      </c>
      <c r="H339" s="15">
        <f>ROUND((P_2_25.a Qté)*(P_2_25.a PU),2)</f>
        <v>0</v>
      </c>
    </row>
    <row r="340" spans="1:8" ht="12">
      <c r="A340" s="33">
        <f t="shared" si="5"/>
        <v>2</v>
      </c>
      <c r="B340" s="33" t="s">
        <v>1386</v>
      </c>
      <c r="C340" s="12" t="s">
        <v>1606</v>
      </c>
      <c r="D340" s="4" t="s">
        <v>52</v>
      </c>
      <c r="E340" s="22" t="s">
        <v>1227</v>
      </c>
      <c r="F340" s="16">
        <v>0</v>
      </c>
      <c r="H340" s="15">
        <f>ROUND((P_2_25.b Qté)*(P_2_25.b PU),2)</f>
        <v>0</v>
      </c>
    </row>
    <row r="341" spans="1:8" ht="12">
      <c r="A341" s="33">
        <f t="shared" si="5"/>
        <v>2</v>
      </c>
      <c r="B341" s="33" t="s">
        <v>1386</v>
      </c>
      <c r="C341" s="12" t="s">
        <v>1607</v>
      </c>
      <c r="D341" s="4" t="s">
        <v>53</v>
      </c>
      <c r="E341" s="22" t="s">
        <v>1227</v>
      </c>
      <c r="F341" s="16">
        <v>0</v>
      </c>
      <c r="H341" s="15">
        <f>ROUND((P_2_25.c Qté)*(P_2_25.c PU),2)</f>
        <v>0</v>
      </c>
    </row>
    <row r="342" spans="1:8" ht="12">
      <c r="A342" s="33">
        <f t="shared" si="5"/>
        <v>2</v>
      </c>
      <c r="B342" s="33" t="s">
        <v>1386</v>
      </c>
      <c r="C342" s="12" t="s">
        <v>1608</v>
      </c>
      <c r="D342" s="4" t="s">
        <v>54</v>
      </c>
      <c r="E342" s="22" t="s">
        <v>1227</v>
      </c>
      <c r="F342" s="16">
        <v>0</v>
      </c>
      <c r="H342" s="15">
        <f>ROUND((P_2_25.d Qté)*(P_2_25.d PU),2)</f>
        <v>0</v>
      </c>
    </row>
    <row r="343" spans="1:8" s="43" customFormat="1" ht="24">
      <c r="A343" s="42">
        <f t="shared" si="5"/>
        <v>2</v>
      </c>
      <c r="B343" s="42" t="s">
        <v>1385</v>
      </c>
      <c r="C343" s="13"/>
      <c r="D343" s="10" t="s">
        <v>746</v>
      </c>
      <c r="E343" s="27" t="s">
        <v>1127</v>
      </c>
      <c r="F343" s="20"/>
      <c r="G343" s="20"/>
      <c r="H343" s="15"/>
    </row>
    <row r="344" spans="1:8" ht="12">
      <c r="A344" s="33">
        <f t="shared" si="5"/>
        <v>2</v>
      </c>
      <c r="B344" s="33" t="s">
        <v>1386</v>
      </c>
      <c r="C344" s="12" t="s">
        <v>1609</v>
      </c>
      <c r="D344" s="4" t="s">
        <v>55</v>
      </c>
      <c r="E344" s="22" t="s">
        <v>1227</v>
      </c>
      <c r="F344" s="16">
        <v>0</v>
      </c>
      <c r="H344" s="15">
        <f>ROUND((P_2_25.e Qté)*(P_2_25.e PU),2)</f>
        <v>0</v>
      </c>
    </row>
    <row r="345" spans="1:8" ht="12">
      <c r="A345" s="33">
        <f t="shared" si="5"/>
        <v>2</v>
      </c>
      <c r="B345" s="33" t="s">
        <v>1386</v>
      </c>
      <c r="C345" s="12" t="s">
        <v>1610</v>
      </c>
      <c r="D345" s="4" t="s">
        <v>56</v>
      </c>
      <c r="E345" s="22" t="s">
        <v>1227</v>
      </c>
      <c r="F345" s="16">
        <v>0</v>
      </c>
      <c r="H345" s="15">
        <f>ROUND((P_2_25.f Qté)*(P_2_25.f PU),2)</f>
        <v>0</v>
      </c>
    </row>
    <row r="346" spans="1:8" ht="12">
      <c r="A346" s="33">
        <f t="shared" si="5"/>
        <v>2</v>
      </c>
      <c r="B346" s="33" t="s">
        <v>1386</v>
      </c>
      <c r="C346" s="12" t="s">
        <v>1611</v>
      </c>
      <c r="D346" s="4" t="s">
        <v>57</v>
      </c>
      <c r="E346" s="22" t="s">
        <v>1227</v>
      </c>
      <c r="F346" s="16">
        <v>0</v>
      </c>
      <c r="H346" s="15">
        <f>ROUND((P_2_25.g Qté)*(P_2_25.g PU),2)</f>
        <v>0</v>
      </c>
    </row>
    <row r="347" spans="1:8" s="43" customFormat="1" ht="36">
      <c r="A347" s="42">
        <f t="shared" si="5"/>
        <v>2</v>
      </c>
      <c r="B347" s="42" t="s">
        <v>1385</v>
      </c>
      <c r="C347" s="13"/>
      <c r="D347" s="10" t="s">
        <v>1860</v>
      </c>
      <c r="E347" s="27" t="s">
        <v>1127</v>
      </c>
      <c r="F347" s="20"/>
      <c r="G347" s="20"/>
      <c r="H347" s="15"/>
    </row>
    <row r="348" spans="1:8" ht="12">
      <c r="A348" s="33">
        <f t="shared" si="5"/>
        <v>2</v>
      </c>
      <c r="B348" s="33" t="s">
        <v>1386</v>
      </c>
      <c r="C348" s="12" t="s">
        <v>1612</v>
      </c>
      <c r="D348" s="4" t="s">
        <v>58</v>
      </c>
      <c r="E348" s="22" t="s">
        <v>1227</v>
      </c>
      <c r="F348" s="16">
        <v>0</v>
      </c>
      <c r="H348" s="15">
        <f>ROUND((P_2_25.h Qté)*(P_2_25.h PU),2)</f>
        <v>0</v>
      </c>
    </row>
    <row r="349" spans="1:8" s="43" customFormat="1" ht="36">
      <c r="A349" s="42">
        <f t="shared" si="5"/>
        <v>2</v>
      </c>
      <c r="B349" s="42" t="s">
        <v>1385</v>
      </c>
      <c r="C349" s="13"/>
      <c r="D349" s="10" t="s">
        <v>1861</v>
      </c>
      <c r="E349" s="27" t="s">
        <v>1127</v>
      </c>
      <c r="F349" s="20"/>
      <c r="G349" s="20"/>
      <c r="H349" s="15"/>
    </row>
    <row r="350" spans="1:8" ht="12">
      <c r="A350" s="33">
        <f t="shared" si="5"/>
        <v>2</v>
      </c>
      <c r="B350" s="33" t="s">
        <v>1386</v>
      </c>
      <c r="C350" s="12" t="s">
        <v>1613</v>
      </c>
      <c r="D350" s="4" t="s">
        <v>59</v>
      </c>
      <c r="E350" s="22" t="s">
        <v>1227</v>
      </c>
      <c r="F350" s="16">
        <v>0</v>
      </c>
      <c r="H350" s="15">
        <f>ROUND((P_2_25.i Qté)*(P_2_25.i PU),2)</f>
        <v>0</v>
      </c>
    </row>
    <row r="351" spans="1:8" s="43" customFormat="1" ht="36">
      <c r="A351" s="42">
        <f t="shared" si="5"/>
        <v>2</v>
      </c>
      <c r="B351" s="42" t="s">
        <v>1385</v>
      </c>
      <c r="C351" s="13"/>
      <c r="D351" s="10" t="s">
        <v>1862</v>
      </c>
      <c r="E351" s="27" t="s">
        <v>1127</v>
      </c>
      <c r="F351" s="20"/>
      <c r="G351" s="20"/>
      <c r="H351" s="15"/>
    </row>
    <row r="352" spans="1:8" ht="12">
      <c r="A352" s="33">
        <f t="shared" si="5"/>
        <v>2</v>
      </c>
      <c r="B352" s="33" t="s">
        <v>1386</v>
      </c>
      <c r="C352" s="12" t="s">
        <v>1614</v>
      </c>
      <c r="D352" s="4" t="s">
        <v>60</v>
      </c>
      <c r="E352" s="22" t="s">
        <v>1227</v>
      </c>
      <c r="F352" s="16">
        <v>0</v>
      </c>
      <c r="H352" s="15">
        <f>ROUND((P_2_25.j Qté)*(P_2_25.j PU),2)</f>
        <v>0</v>
      </c>
    </row>
    <row r="353" spans="1:8" s="43" customFormat="1" ht="36">
      <c r="A353" s="42">
        <f t="shared" si="5"/>
        <v>2</v>
      </c>
      <c r="B353" s="42" t="s">
        <v>1385</v>
      </c>
      <c r="C353" s="13"/>
      <c r="D353" s="10" t="s">
        <v>747</v>
      </c>
      <c r="E353" s="27" t="s">
        <v>1127</v>
      </c>
      <c r="F353" s="20"/>
      <c r="G353" s="20"/>
      <c r="H353" s="15"/>
    </row>
    <row r="354" spans="1:8" ht="12">
      <c r="A354" s="33">
        <f t="shared" si="5"/>
        <v>2</v>
      </c>
      <c r="B354" s="33" t="s">
        <v>1386</v>
      </c>
      <c r="C354" s="12" t="s">
        <v>1615</v>
      </c>
      <c r="D354" s="4" t="s">
        <v>61</v>
      </c>
      <c r="E354" s="22" t="s">
        <v>1227</v>
      </c>
      <c r="F354" s="16">
        <v>0</v>
      </c>
      <c r="H354" s="15">
        <f>ROUND((P_2_25.k Qté)*(P_2_25.k PU),2)</f>
        <v>0</v>
      </c>
    </row>
    <row r="355" spans="1:8" s="43" customFormat="1" ht="24">
      <c r="A355" s="42">
        <f t="shared" si="5"/>
        <v>2</v>
      </c>
      <c r="B355" s="42" t="s">
        <v>1385</v>
      </c>
      <c r="C355" s="13" t="s">
        <v>931</v>
      </c>
      <c r="D355" s="10" t="s">
        <v>748</v>
      </c>
      <c r="E355" s="27" t="s">
        <v>1127</v>
      </c>
      <c r="F355" s="20"/>
      <c r="G355" s="20"/>
      <c r="H355" s="15"/>
    </row>
    <row r="356" spans="1:8" s="43" customFormat="1" ht="12">
      <c r="A356" s="42">
        <f t="shared" si="5"/>
        <v>2</v>
      </c>
      <c r="B356" s="42" t="s">
        <v>1385</v>
      </c>
      <c r="C356" s="13"/>
      <c r="D356" s="10" t="s">
        <v>1226</v>
      </c>
      <c r="E356" s="27" t="s">
        <v>1127</v>
      </c>
      <c r="F356" s="20"/>
      <c r="G356" s="20"/>
      <c r="H356" s="15"/>
    </row>
    <row r="357" spans="1:8" s="43" customFormat="1" ht="24">
      <c r="A357" s="42">
        <f t="shared" si="5"/>
        <v>2</v>
      </c>
      <c r="B357" s="42" t="s">
        <v>1385</v>
      </c>
      <c r="C357" s="13"/>
      <c r="D357" s="14" t="s">
        <v>62</v>
      </c>
      <c r="E357" s="27" t="s">
        <v>1127</v>
      </c>
      <c r="F357" s="20"/>
      <c r="G357" s="20"/>
      <c r="H357" s="15"/>
    </row>
    <row r="358" spans="1:8" s="43" customFormat="1" ht="12">
      <c r="A358" s="42">
        <f t="shared" si="5"/>
        <v>2</v>
      </c>
      <c r="B358" s="42" t="s">
        <v>1385</v>
      </c>
      <c r="C358" s="13"/>
      <c r="D358" s="14" t="s">
        <v>606</v>
      </c>
      <c r="E358" s="27" t="s">
        <v>1127</v>
      </c>
      <c r="F358" s="20"/>
      <c r="G358" s="20"/>
      <c r="H358" s="15"/>
    </row>
    <row r="359" spans="1:8" s="43" customFormat="1" ht="12">
      <c r="A359" s="42">
        <f t="shared" si="5"/>
        <v>2</v>
      </c>
      <c r="B359" s="42" t="s">
        <v>1385</v>
      </c>
      <c r="C359" s="13"/>
      <c r="D359" s="14" t="s">
        <v>607</v>
      </c>
      <c r="E359" s="27" t="s">
        <v>1127</v>
      </c>
      <c r="F359" s="20"/>
      <c r="G359" s="20"/>
      <c r="H359" s="15"/>
    </row>
    <row r="360" spans="1:8" s="43" customFormat="1" ht="12">
      <c r="A360" s="42">
        <f t="shared" si="5"/>
        <v>2</v>
      </c>
      <c r="B360" s="42" t="s">
        <v>1385</v>
      </c>
      <c r="C360" s="13"/>
      <c r="D360" s="14" t="s">
        <v>627</v>
      </c>
      <c r="E360" s="27" t="s">
        <v>1127</v>
      </c>
      <c r="F360" s="20"/>
      <c r="G360" s="20"/>
      <c r="H360" s="15"/>
    </row>
    <row r="361" spans="1:8" s="43" customFormat="1" ht="12">
      <c r="A361" s="42">
        <f t="shared" si="5"/>
        <v>2</v>
      </c>
      <c r="B361" s="42" t="s">
        <v>1385</v>
      </c>
      <c r="C361" s="13"/>
      <c r="D361" s="14" t="s">
        <v>609</v>
      </c>
      <c r="E361" s="27" t="s">
        <v>1127</v>
      </c>
      <c r="F361" s="20"/>
      <c r="G361" s="20"/>
      <c r="H361" s="15"/>
    </row>
    <row r="362" spans="1:8" s="43" customFormat="1" ht="12">
      <c r="A362" s="42">
        <f t="shared" si="5"/>
        <v>2</v>
      </c>
      <c r="B362" s="42" t="s">
        <v>1385</v>
      </c>
      <c r="C362" s="13"/>
      <c r="D362" s="14" t="s">
        <v>649</v>
      </c>
      <c r="E362" s="27" t="s">
        <v>1127</v>
      </c>
      <c r="F362" s="20"/>
      <c r="G362" s="20"/>
      <c r="H362" s="15"/>
    </row>
    <row r="363" spans="1:8" s="43" customFormat="1" ht="24">
      <c r="A363" s="42">
        <f t="shared" si="5"/>
        <v>2</v>
      </c>
      <c r="B363" s="42" t="s">
        <v>1385</v>
      </c>
      <c r="C363" s="13"/>
      <c r="D363" s="10" t="s">
        <v>749</v>
      </c>
      <c r="E363" s="27" t="s">
        <v>1127</v>
      </c>
      <c r="F363" s="20"/>
      <c r="G363" s="20"/>
      <c r="H363" s="15"/>
    </row>
    <row r="364" spans="1:8" ht="12">
      <c r="A364" s="33">
        <f t="shared" si="5"/>
        <v>2</v>
      </c>
      <c r="B364" s="33" t="s">
        <v>1386</v>
      </c>
      <c r="C364" s="12" t="s">
        <v>1616</v>
      </c>
      <c r="D364" s="4" t="s">
        <v>51</v>
      </c>
      <c r="E364" s="22" t="s">
        <v>1227</v>
      </c>
      <c r="F364" s="16">
        <v>0</v>
      </c>
      <c r="H364" s="15">
        <f>ROUND((P_2_26.a Qté)*(P_2_26.a PU),2)</f>
        <v>0</v>
      </c>
    </row>
    <row r="365" spans="1:8" ht="12">
      <c r="A365" s="33">
        <f t="shared" si="5"/>
        <v>2</v>
      </c>
      <c r="B365" s="33" t="s">
        <v>1386</v>
      </c>
      <c r="C365" s="12" t="s">
        <v>1617</v>
      </c>
      <c r="D365" s="4" t="s">
        <v>52</v>
      </c>
      <c r="E365" s="22" t="s">
        <v>1227</v>
      </c>
      <c r="F365" s="16">
        <v>0</v>
      </c>
      <c r="H365" s="15">
        <f>ROUND((P_2_26.b Qté)*(P_2_26.b PU),2)</f>
        <v>0</v>
      </c>
    </row>
    <row r="366" spans="1:8" ht="12">
      <c r="A366" s="33">
        <f t="shared" si="5"/>
        <v>2</v>
      </c>
      <c r="B366" s="33" t="s">
        <v>1386</v>
      </c>
      <c r="C366" s="12" t="s">
        <v>1618</v>
      </c>
      <c r="D366" s="4" t="s">
        <v>53</v>
      </c>
      <c r="E366" s="22" t="s">
        <v>1227</v>
      </c>
      <c r="F366" s="16">
        <v>0</v>
      </c>
      <c r="H366" s="15">
        <f>ROUND((P_2_26.c Qté)*(P_2_26.c PU),2)</f>
        <v>0</v>
      </c>
    </row>
    <row r="367" spans="1:8" ht="12">
      <c r="A367" s="33">
        <f t="shared" si="5"/>
        <v>2</v>
      </c>
      <c r="B367" s="33" t="s">
        <v>1386</v>
      </c>
      <c r="C367" s="12" t="s">
        <v>1619</v>
      </c>
      <c r="D367" s="4" t="s">
        <v>54</v>
      </c>
      <c r="E367" s="22" t="s">
        <v>1227</v>
      </c>
      <c r="F367" s="16">
        <v>0</v>
      </c>
      <c r="H367" s="15">
        <f>ROUND((P_2_26.d Qté)*(P_2_26.d PU),2)</f>
        <v>0</v>
      </c>
    </row>
    <row r="368" spans="1:8" s="43" customFormat="1" ht="36">
      <c r="A368" s="42">
        <f t="shared" si="5"/>
        <v>2</v>
      </c>
      <c r="B368" s="42" t="s">
        <v>1385</v>
      </c>
      <c r="C368" s="13"/>
      <c r="D368" s="10" t="s">
        <v>750</v>
      </c>
      <c r="E368" s="27" t="s">
        <v>1127</v>
      </c>
      <c r="F368" s="20"/>
      <c r="G368" s="20"/>
      <c r="H368" s="15"/>
    </row>
    <row r="369" spans="1:8" ht="12">
      <c r="A369" s="33">
        <f t="shared" si="5"/>
        <v>2</v>
      </c>
      <c r="B369" s="33" t="s">
        <v>1386</v>
      </c>
      <c r="C369" s="12" t="s">
        <v>1620</v>
      </c>
      <c r="D369" s="4" t="s">
        <v>55</v>
      </c>
      <c r="E369" s="22" t="s">
        <v>1227</v>
      </c>
      <c r="F369" s="16">
        <v>0</v>
      </c>
      <c r="H369" s="15">
        <f>ROUND((P_2_26.e Qté)*(P_2_26.e PU),2)</f>
        <v>0</v>
      </c>
    </row>
    <row r="370" spans="1:8" ht="12">
      <c r="A370" s="33">
        <f t="shared" si="5"/>
        <v>2</v>
      </c>
      <c r="B370" s="33" t="s">
        <v>1386</v>
      </c>
      <c r="C370" s="12" t="s">
        <v>1621</v>
      </c>
      <c r="D370" s="4" t="s">
        <v>56</v>
      </c>
      <c r="E370" s="22" t="s">
        <v>1227</v>
      </c>
      <c r="F370" s="16">
        <v>0</v>
      </c>
      <c r="H370" s="15">
        <f>ROUND((P_2_26.f Qté)*(P_2_26.f PU),2)</f>
        <v>0</v>
      </c>
    </row>
    <row r="371" spans="1:8" ht="12">
      <c r="A371" s="33">
        <f t="shared" si="5"/>
        <v>2</v>
      </c>
      <c r="B371" s="33" t="s">
        <v>1386</v>
      </c>
      <c r="C371" s="12" t="s">
        <v>1622</v>
      </c>
      <c r="D371" s="4" t="s">
        <v>57</v>
      </c>
      <c r="E371" s="22" t="s">
        <v>1227</v>
      </c>
      <c r="F371" s="16">
        <v>0</v>
      </c>
      <c r="H371" s="15">
        <f>ROUND((P_2_26.g Qté)*(P_2_26.g PU),2)</f>
        <v>0</v>
      </c>
    </row>
    <row r="372" spans="1:8" s="43" customFormat="1" ht="24">
      <c r="A372" s="42">
        <f t="shared" si="5"/>
        <v>2</v>
      </c>
      <c r="B372" s="42" t="s">
        <v>1385</v>
      </c>
      <c r="C372" s="13"/>
      <c r="D372" s="10" t="s">
        <v>751</v>
      </c>
      <c r="E372" s="27" t="s">
        <v>1127</v>
      </c>
      <c r="F372" s="20"/>
      <c r="G372" s="20"/>
      <c r="H372" s="15"/>
    </row>
    <row r="373" spans="1:8" ht="12">
      <c r="A373" s="33">
        <f t="shared" si="5"/>
        <v>2</v>
      </c>
      <c r="B373" s="33" t="s">
        <v>1386</v>
      </c>
      <c r="C373" s="12" t="s">
        <v>1623</v>
      </c>
      <c r="D373" s="4" t="s">
        <v>58</v>
      </c>
      <c r="E373" s="22" t="s">
        <v>1227</v>
      </c>
      <c r="F373" s="16">
        <v>0</v>
      </c>
      <c r="H373" s="15">
        <f>ROUND((P_2_26.h Qté)*(P_2_26.h PU),2)</f>
        <v>0</v>
      </c>
    </row>
    <row r="374" spans="1:8" s="43" customFormat="1" ht="36">
      <c r="A374" s="42">
        <f t="shared" si="5"/>
        <v>2</v>
      </c>
      <c r="B374" s="42" t="s">
        <v>1385</v>
      </c>
      <c r="C374" s="13"/>
      <c r="D374" s="10" t="s">
        <v>752</v>
      </c>
      <c r="E374" s="27" t="s">
        <v>1127</v>
      </c>
      <c r="F374" s="20"/>
      <c r="G374" s="20"/>
      <c r="H374" s="15"/>
    </row>
    <row r="375" spans="1:8" ht="12">
      <c r="A375" s="33">
        <f t="shared" si="5"/>
        <v>2</v>
      </c>
      <c r="B375" s="33" t="s">
        <v>1386</v>
      </c>
      <c r="C375" s="12" t="s">
        <v>1624</v>
      </c>
      <c r="D375" s="4" t="s">
        <v>63</v>
      </c>
      <c r="E375" s="22" t="s">
        <v>1227</v>
      </c>
      <c r="F375" s="16">
        <v>0</v>
      </c>
      <c r="H375" s="15">
        <f>ROUND((P_2_26.i Qté)*(P_2_26.i PU),2)</f>
        <v>0</v>
      </c>
    </row>
    <row r="376" spans="1:8" ht="12">
      <c r="A376" s="33">
        <f t="shared" si="5"/>
        <v>2</v>
      </c>
      <c r="B376" s="33" t="s">
        <v>1386</v>
      </c>
      <c r="C376" s="12" t="s">
        <v>1625</v>
      </c>
      <c r="D376" s="4" t="s">
        <v>64</v>
      </c>
      <c r="E376" s="22" t="s">
        <v>1227</v>
      </c>
      <c r="F376" s="16">
        <v>0</v>
      </c>
      <c r="H376" s="15">
        <f>ROUND((P_2_26.j Qté)*(P_2_26.j PU),2)</f>
        <v>0</v>
      </c>
    </row>
    <row r="377" spans="1:8" s="43" customFormat="1" ht="24">
      <c r="A377" s="42">
        <f t="shared" si="5"/>
        <v>2</v>
      </c>
      <c r="B377" s="42" t="s">
        <v>1385</v>
      </c>
      <c r="C377" s="13" t="s">
        <v>932</v>
      </c>
      <c r="D377" s="10" t="s">
        <v>753</v>
      </c>
      <c r="E377" s="27" t="s">
        <v>1127</v>
      </c>
      <c r="F377" s="20"/>
      <c r="G377" s="20"/>
      <c r="H377" s="15"/>
    </row>
    <row r="378" spans="1:8" s="43" customFormat="1" ht="24">
      <c r="A378" s="42">
        <f t="shared" si="5"/>
        <v>2</v>
      </c>
      <c r="B378" s="42" t="s">
        <v>1385</v>
      </c>
      <c r="C378" s="13"/>
      <c r="D378" s="10" t="s">
        <v>754</v>
      </c>
      <c r="E378" s="27" t="s">
        <v>1127</v>
      </c>
      <c r="F378" s="20"/>
      <c r="G378" s="20"/>
      <c r="H378" s="15"/>
    </row>
    <row r="379" spans="1:8" s="43" customFormat="1" ht="60">
      <c r="A379" s="42">
        <f t="shared" si="5"/>
        <v>2</v>
      </c>
      <c r="B379" s="42" t="s">
        <v>1385</v>
      </c>
      <c r="C379" s="13"/>
      <c r="D379" s="14" t="s">
        <v>65</v>
      </c>
      <c r="E379" s="27" t="s">
        <v>1127</v>
      </c>
      <c r="F379" s="20"/>
      <c r="G379" s="20"/>
      <c r="H379" s="15"/>
    </row>
    <row r="380" spans="1:8" s="43" customFormat="1" ht="24">
      <c r="A380" s="42">
        <f t="shared" si="5"/>
        <v>2</v>
      </c>
      <c r="B380" s="42" t="s">
        <v>1385</v>
      </c>
      <c r="C380" s="13"/>
      <c r="D380" s="14" t="s">
        <v>66</v>
      </c>
      <c r="E380" s="27" t="s">
        <v>1127</v>
      </c>
      <c r="F380" s="20"/>
      <c r="G380" s="20"/>
      <c r="H380" s="15"/>
    </row>
    <row r="381" spans="1:8" s="43" customFormat="1" ht="48">
      <c r="A381" s="42">
        <f t="shared" si="5"/>
        <v>2</v>
      </c>
      <c r="B381" s="42" t="s">
        <v>1385</v>
      </c>
      <c r="C381" s="13"/>
      <c r="D381" s="14" t="s">
        <v>67</v>
      </c>
      <c r="E381" s="27" t="s">
        <v>1127</v>
      </c>
      <c r="F381" s="20"/>
      <c r="G381" s="20"/>
      <c r="H381" s="15"/>
    </row>
    <row r="382" spans="1:8" s="43" customFormat="1" ht="12">
      <c r="A382" s="42">
        <f t="shared" si="5"/>
        <v>2</v>
      </c>
      <c r="B382" s="42" t="s">
        <v>1385</v>
      </c>
      <c r="C382" s="13"/>
      <c r="D382" s="14" t="s">
        <v>606</v>
      </c>
      <c r="E382" s="27" t="s">
        <v>1127</v>
      </c>
      <c r="F382" s="20"/>
      <c r="G382" s="20"/>
      <c r="H382" s="15"/>
    </row>
    <row r="383" spans="1:8" s="43" customFormat="1" ht="12">
      <c r="A383" s="42">
        <f t="shared" si="5"/>
        <v>2</v>
      </c>
      <c r="B383" s="42" t="s">
        <v>1385</v>
      </c>
      <c r="C383" s="13"/>
      <c r="D383" s="14" t="s">
        <v>607</v>
      </c>
      <c r="E383" s="27" t="s">
        <v>1127</v>
      </c>
      <c r="F383" s="20"/>
      <c r="G383" s="20"/>
      <c r="H383" s="15"/>
    </row>
    <row r="384" spans="1:8" s="43" customFormat="1" ht="12">
      <c r="A384" s="42">
        <f t="shared" si="5"/>
        <v>2</v>
      </c>
      <c r="B384" s="42" t="s">
        <v>1385</v>
      </c>
      <c r="C384" s="13"/>
      <c r="D384" s="14" t="s">
        <v>627</v>
      </c>
      <c r="E384" s="27" t="s">
        <v>1127</v>
      </c>
      <c r="F384" s="20"/>
      <c r="G384" s="20"/>
      <c r="H384" s="15"/>
    </row>
    <row r="385" spans="1:8" s="43" customFormat="1" ht="24">
      <c r="A385" s="42">
        <f t="shared" si="5"/>
        <v>2</v>
      </c>
      <c r="B385" s="42" t="s">
        <v>1385</v>
      </c>
      <c r="C385" s="13"/>
      <c r="D385" s="14" t="s">
        <v>68</v>
      </c>
      <c r="E385" s="27" t="s">
        <v>1127</v>
      </c>
      <c r="F385" s="20"/>
      <c r="G385" s="20"/>
      <c r="H385" s="15"/>
    </row>
    <row r="386" spans="1:8" s="43" customFormat="1" ht="12">
      <c r="A386" s="42">
        <f t="shared" si="5"/>
        <v>2</v>
      </c>
      <c r="B386" s="42" t="s">
        <v>1385</v>
      </c>
      <c r="C386" s="13"/>
      <c r="D386" s="14" t="s">
        <v>649</v>
      </c>
      <c r="E386" s="27" t="s">
        <v>1127</v>
      </c>
      <c r="F386" s="20"/>
      <c r="G386" s="20"/>
      <c r="H386" s="15"/>
    </row>
    <row r="387" spans="1:8" ht="12">
      <c r="A387" s="33">
        <f t="shared" si="5"/>
        <v>2</v>
      </c>
      <c r="B387" s="33" t="s">
        <v>1386</v>
      </c>
      <c r="C387" s="12" t="s">
        <v>1626</v>
      </c>
      <c r="D387" s="4" t="s">
        <v>69</v>
      </c>
      <c r="E387" s="22" t="s">
        <v>1206</v>
      </c>
      <c r="F387" s="16">
        <v>0</v>
      </c>
      <c r="H387" s="15">
        <f>ROUND((P_2_27.a Qté)*(P_2_27.a PU),2)</f>
        <v>0</v>
      </c>
    </row>
    <row r="388" spans="1:8" ht="12">
      <c r="A388" s="33">
        <f t="shared" si="5"/>
        <v>2</v>
      </c>
      <c r="B388" s="33" t="s">
        <v>1386</v>
      </c>
      <c r="C388" s="12" t="s">
        <v>1627</v>
      </c>
      <c r="D388" s="4" t="s">
        <v>70</v>
      </c>
      <c r="E388" s="22" t="s">
        <v>1206</v>
      </c>
      <c r="F388" s="16">
        <v>0</v>
      </c>
      <c r="H388" s="15">
        <f>ROUND((P_2_27.b Qté)*(P_2_27.b PU),2)</f>
        <v>0</v>
      </c>
    </row>
    <row r="389" spans="1:8" s="43" customFormat="1" ht="24">
      <c r="A389" s="42">
        <f aca="true" t="shared" si="6" ref="A389:A452">A388</f>
        <v>2</v>
      </c>
      <c r="B389" s="42" t="s">
        <v>1385</v>
      </c>
      <c r="C389" s="13" t="s">
        <v>933</v>
      </c>
      <c r="D389" s="10" t="s">
        <v>755</v>
      </c>
      <c r="E389" s="27" t="s">
        <v>1127</v>
      </c>
      <c r="F389" s="20"/>
      <c r="G389" s="20"/>
      <c r="H389" s="15"/>
    </row>
    <row r="390" spans="1:8" s="43" customFormat="1" ht="24">
      <c r="A390" s="42">
        <f t="shared" si="6"/>
        <v>2</v>
      </c>
      <c r="B390" s="42" t="s">
        <v>1385</v>
      </c>
      <c r="C390" s="13"/>
      <c r="D390" s="10" t="s">
        <v>754</v>
      </c>
      <c r="E390" s="27" t="s">
        <v>1127</v>
      </c>
      <c r="F390" s="20"/>
      <c r="G390" s="20"/>
      <c r="H390" s="15"/>
    </row>
    <row r="391" spans="1:8" s="43" customFormat="1" ht="48">
      <c r="A391" s="42">
        <f t="shared" si="6"/>
        <v>2</v>
      </c>
      <c r="B391" s="42" t="s">
        <v>1385</v>
      </c>
      <c r="C391" s="13"/>
      <c r="D391" s="14" t="s">
        <v>71</v>
      </c>
      <c r="E391" s="27" t="s">
        <v>1127</v>
      </c>
      <c r="F391" s="20"/>
      <c r="G391" s="20"/>
      <c r="H391" s="15"/>
    </row>
    <row r="392" spans="1:8" s="43" customFormat="1" ht="12">
      <c r="A392" s="42">
        <f t="shared" si="6"/>
        <v>2</v>
      </c>
      <c r="B392" s="42" t="s">
        <v>1385</v>
      </c>
      <c r="C392" s="13"/>
      <c r="D392" s="14" t="s">
        <v>606</v>
      </c>
      <c r="E392" s="27" t="s">
        <v>1127</v>
      </c>
      <c r="F392" s="20"/>
      <c r="G392" s="20"/>
      <c r="H392" s="15"/>
    </row>
    <row r="393" spans="1:8" s="43" customFormat="1" ht="12">
      <c r="A393" s="42">
        <f t="shared" si="6"/>
        <v>2</v>
      </c>
      <c r="B393" s="42" t="s">
        <v>1385</v>
      </c>
      <c r="C393" s="13"/>
      <c r="D393" s="14" t="s">
        <v>607</v>
      </c>
      <c r="E393" s="27" t="s">
        <v>1127</v>
      </c>
      <c r="F393" s="20"/>
      <c r="G393" s="20"/>
      <c r="H393" s="15"/>
    </row>
    <row r="394" spans="1:8" s="43" customFormat="1" ht="12">
      <c r="A394" s="42">
        <f t="shared" si="6"/>
        <v>2</v>
      </c>
      <c r="B394" s="42" t="s">
        <v>1385</v>
      </c>
      <c r="C394" s="13"/>
      <c r="D394" s="14" t="s">
        <v>627</v>
      </c>
      <c r="E394" s="27" t="s">
        <v>1127</v>
      </c>
      <c r="F394" s="20"/>
      <c r="G394" s="20"/>
      <c r="H394" s="15"/>
    </row>
    <row r="395" spans="1:8" s="43" customFormat="1" ht="24">
      <c r="A395" s="42">
        <f t="shared" si="6"/>
        <v>2</v>
      </c>
      <c r="B395" s="42" t="s">
        <v>1385</v>
      </c>
      <c r="C395" s="13"/>
      <c r="D395" s="14" t="s">
        <v>68</v>
      </c>
      <c r="E395" s="27" t="s">
        <v>1127</v>
      </c>
      <c r="F395" s="20"/>
      <c r="G395" s="20"/>
      <c r="H395" s="15"/>
    </row>
    <row r="396" spans="1:8" s="43" customFormat="1" ht="12">
      <c r="A396" s="42">
        <f t="shared" si="6"/>
        <v>2</v>
      </c>
      <c r="B396" s="42" t="s">
        <v>1385</v>
      </c>
      <c r="C396" s="13"/>
      <c r="D396" s="14" t="s">
        <v>649</v>
      </c>
      <c r="E396" s="27" t="s">
        <v>1127</v>
      </c>
      <c r="F396" s="20"/>
      <c r="G396" s="20"/>
      <c r="H396" s="15"/>
    </row>
    <row r="397" spans="1:8" ht="12">
      <c r="A397" s="33">
        <f t="shared" si="6"/>
        <v>2</v>
      </c>
      <c r="B397" s="33" t="s">
        <v>1386</v>
      </c>
      <c r="C397" s="12" t="s">
        <v>1628</v>
      </c>
      <c r="D397" s="4" t="s">
        <v>72</v>
      </c>
      <c r="E397" s="22" t="s">
        <v>1206</v>
      </c>
      <c r="F397" s="16">
        <v>0</v>
      </c>
      <c r="H397" s="15">
        <f>ROUND((P_2_28.a Qté)*(P_2_28.a PU),2)</f>
        <v>0</v>
      </c>
    </row>
    <row r="398" spans="1:8" ht="12">
      <c r="A398" s="33">
        <f t="shared" si="6"/>
        <v>2</v>
      </c>
      <c r="B398" s="33" t="s">
        <v>1386</v>
      </c>
      <c r="C398" s="12" t="s">
        <v>1373</v>
      </c>
      <c r="D398" s="4" t="s">
        <v>73</v>
      </c>
      <c r="E398" s="22" t="s">
        <v>1206</v>
      </c>
      <c r="F398" s="16">
        <v>0</v>
      </c>
      <c r="H398" s="15">
        <f>ROUND((P_2_28.b Qté)*(P_2_28.b PU),2)</f>
        <v>0</v>
      </c>
    </row>
    <row r="399" spans="1:8" ht="12">
      <c r="A399" s="33">
        <f t="shared" si="6"/>
        <v>2</v>
      </c>
      <c r="B399" s="33" t="s">
        <v>1386</v>
      </c>
      <c r="C399" s="12" t="s">
        <v>1374</v>
      </c>
      <c r="D399" s="4" t="s">
        <v>74</v>
      </c>
      <c r="E399" s="22" t="s">
        <v>1206</v>
      </c>
      <c r="F399" s="16">
        <v>0</v>
      </c>
      <c r="H399" s="15">
        <f>ROUND((P_2_28.c Qté)*(P_2_28.c PU),2)</f>
        <v>0</v>
      </c>
    </row>
    <row r="400" spans="1:8" s="43" customFormat="1" ht="12">
      <c r="A400" s="42">
        <f t="shared" si="6"/>
        <v>2</v>
      </c>
      <c r="B400" s="42" t="s">
        <v>1385</v>
      </c>
      <c r="C400" s="13" t="s">
        <v>934</v>
      </c>
      <c r="D400" s="10" t="s">
        <v>1295</v>
      </c>
      <c r="E400" s="27" t="s">
        <v>1127</v>
      </c>
      <c r="F400" s="20"/>
      <c r="G400" s="20"/>
      <c r="H400" s="15"/>
    </row>
    <row r="401" spans="1:8" s="43" customFormat="1" ht="12">
      <c r="A401" s="42">
        <f t="shared" si="6"/>
        <v>2</v>
      </c>
      <c r="B401" s="42" t="s">
        <v>1385</v>
      </c>
      <c r="C401" s="13"/>
      <c r="D401" s="10" t="s">
        <v>1226</v>
      </c>
      <c r="E401" s="27" t="s">
        <v>1127</v>
      </c>
      <c r="F401" s="20"/>
      <c r="G401" s="20"/>
      <c r="H401" s="15"/>
    </row>
    <row r="402" spans="1:8" s="43" customFormat="1" ht="48">
      <c r="A402" s="42">
        <f t="shared" si="6"/>
        <v>2</v>
      </c>
      <c r="B402" s="42" t="s">
        <v>1385</v>
      </c>
      <c r="C402" s="13"/>
      <c r="D402" s="14" t="s">
        <v>75</v>
      </c>
      <c r="E402" s="27" t="s">
        <v>1127</v>
      </c>
      <c r="F402" s="20"/>
      <c r="G402" s="20"/>
      <c r="H402" s="15"/>
    </row>
    <row r="403" spans="1:8" s="43" customFormat="1" ht="12">
      <c r="A403" s="42">
        <f t="shared" si="6"/>
        <v>2</v>
      </c>
      <c r="B403" s="42" t="s">
        <v>1385</v>
      </c>
      <c r="C403" s="13"/>
      <c r="D403" s="14" t="s">
        <v>606</v>
      </c>
      <c r="E403" s="27" t="s">
        <v>1127</v>
      </c>
      <c r="F403" s="20"/>
      <c r="G403" s="20"/>
      <c r="H403" s="15"/>
    </row>
    <row r="404" spans="1:8" s="43" customFormat="1" ht="12">
      <c r="A404" s="42">
        <f t="shared" si="6"/>
        <v>2</v>
      </c>
      <c r="B404" s="42" t="s">
        <v>1385</v>
      </c>
      <c r="C404" s="13"/>
      <c r="D404" s="14" t="s">
        <v>607</v>
      </c>
      <c r="E404" s="27" t="s">
        <v>1127</v>
      </c>
      <c r="F404" s="20"/>
      <c r="G404" s="20"/>
      <c r="H404" s="15"/>
    </row>
    <row r="405" spans="1:8" s="43" customFormat="1" ht="12">
      <c r="A405" s="42">
        <f t="shared" si="6"/>
        <v>2</v>
      </c>
      <c r="B405" s="42" t="s">
        <v>1385</v>
      </c>
      <c r="C405" s="13"/>
      <c r="D405" s="14" t="s">
        <v>627</v>
      </c>
      <c r="E405" s="27" t="s">
        <v>1127</v>
      </c>
      <c r="F405" s="20"/>
      <c r="G405" s="20"/>
      <c r="H405" s="15"/>
    </row>
    <row r="406" spans="1:8" s="43" customFormat="1" ht="12">
      <c r="A406" s="42">
        <f t="shared" si="6"/>
        <v>2</v>
      </c>
      <c r="B406" s="42" t="s">
        <v>1385</v>
      </c>
      <c r="C406" s="13"/>
      <c r="D406" s="14" t="s">
        <v>649</v>
      </c>
      <c r="E406" s="27" t="s">
        <v>1127</v>
      </c>
      <c r="F406" s="20"/>
      <c r="G406" s="20"/>
      <c r="H406" s="15"/>
    </row>
    <row r="407" spans="1:8" ht="12">
      <c r="A407" s="33">
        <f t="shared" si="6"/>
        <v>2</v>
      </c>
      <c r="B407" s="33" t="s">
        <v>1386</v>
      </c>
      <c r="C407" s="12" t="s">
        <v>1629</v>
      </c>
      <c r="D407" s="4" t="s">
        <v>76</v>
      </c>
      <c r="E407" s="22" t="s">
        <v>1227</v>
      </c>
      <c r="F407" s="16">
        <v>0</v>
      </c>
      <c r="H407" s="15">
        <f>ROUND((P_2_29.a Qté)*(P_2_29.a PU),2)</f>
        <v>0</v>
      </c>
    </row>
    <row r="408" spans="1:8" ht="12">
      <c r="A408" s="33">
        <f t="shared" si="6"/>
        <v>2</v>
      </c>
      <c r="B408" s="33" t="s">
        <v>1386</v>
      </c>
      <c r="C408" s="12" t="s">
        <v>1630</v>
      </c>
      <c r="D408" s="4" t="s">
        <v>77</v>
      </c>
      <c r="E408" s="22" t="s">
        <v>1227</v>
      </c>
      <c r="F408" s="16">
        <v>0</v>
      </c>
      <c r="H408" s="15">
        <f>ROUND((P_2_29.b Qté)*(P_2_29.b PU),2)</f>
        <v>0</v>
      </c>
    </row>
    <row r="409" spans="1:8" s="43" customFormat="1" ht="12">
      <c r="A409" s="42">
        <f t="shared" si="6"/>
        <v>2</v>
      </c>
      <c r="B409" s="42" t="s">
        <v>1385</v>
      </c>
      <c r="C409" s="13" t="s">
        <v>935</v>
      </c>
      <c r="D409" s="10" t="s">
        <v>756</v>
      </c>
      <c r="E409" s="27" t="s">
        <v>1127</v>
      </c>
      <c r="F409" s="20"/>
      <c r="G409" s="20"/>
      <c r="H409" s="15"/>
    </row>
    <row r="410" spans="1:8" s="43" customFormat="1" ht="12">
      <c r="A410" s="42">
        <f t="shared" si="6"/>
        <v>2</v>
      </c>
      <c r="B410" s="42" t="s">
        <v>1385</v>
      </c>
      <c r="C410" s="13"/>
      <c r="D410" s="10" t="s">
        <v>1209</v>
      </c>
      <c r="E410" s="27" t="s">
        <v>1127</v>
      </c>
      <c r="F410" s="20"/>
      <c r="G410" s="20"/>
      <c r="H410" s="15"/>
    </row>
    <row r="411" spans="1:8" s="43" customFormat="1" ht="36">
      <c r="A411" s="42">
        <f t="shared" si="6"/>
        <v>2</v>
      </c>
      <c r="B411" s="42" t="s">
        <v>1385</v>
      </c>
      <c r="C411" s="13"/>
      <c r="D411" s="14" t="s">
        <v>78</v>
      </c>
      <c r="E411" s="27" t="s">
        <v>1127</v>
      </c>
      <c r="F411" s="20"/>
      <c r="G411" s="20"/>
      <c r="H411" s="15"/>
    </row>
    <row r="412" spans="1:8" s="43" customFormat="1" ht="12">
      <c r="A412" s="42">
        <f t="shared" si="6"/>
        <v>2</v>
      </c>
      <c r="B412" s="42" t="s">
        <v>1385</v>
      </c>
      <c r="C412" s="13"/>
      <c r="D412" s="14" t="s">
        <v>606</v>
      </c>
      <c r="E412" s="27" t="s">
        <v>1127</v>
      </c>
      <c r="F412" s="20"/>
      <c r="G412" s="20"/>
      <c r="H412" s="15"/>
    </row>
    <row r="413" spans="1:8" s="43" customFormat="1" ht="12">
      <c r="A413" s="42">
        <f t="shared" si="6"/>
        <v>2</v>
      </c>
      <c r="B413" s="42" t="s">
        <v>1385</v>
      </c>
      <c r="C413" s="13"/>
      <c r="D413" s="14" t="s">
        <v>607</v>
      </c>
      <c r="E413" s="27" t="s">
        <v>1127</v>
      </c>
      <c r="F413" s="20"/>
      <c r="G413" s="20"/>
      <c r="H413" s="15"/>
    </row>
    <row r="414" spans="1:8" s="43" customFormat="1" ht="12">
      <c r="A414" s="42">
        <f t="shared" si="6"/>
        <v>2</v>
      </c>
      <c r="B414" s="42" t="s">
        <v>1385</v>
      </c>
      <c r="C414" s="13"/>
      <c r="D414" s="14" t="s">
        <v>627</v>
      </c>
      <c r="E414" s="27" t="s">
        <v>1127</v>
      </c>
      <c r="F414" s="20"/>
      <c r="G414" s="20"/>
      <c r="H414" s="15"/>
    </row>
    <row r="415" spans="1:8" s="43" customFormat="1" ht="24">
      <c r="A415" s="42">
        <f t="shared" si="6"/>
        <v>2</v>
      </c>
      <c r="B415" s="42" t="s">
        <v>1385</v>
      </c>
      <c r="C415" s="13"/>
      <c r="D415" s="14" t="s">
        <v>68</v>
      </c>
      <c r="E415" s="27" t="s">
        <v>1127</v>
      </c>
      <c r="F415" s="20"/>
      <c r="G415" s="20"/>
      <c r="H415" s="15"/>
    </row>
    <row r="416" spans="1:8" s="43" customFormat="1" ht="12">
      <c r="A416" s="42">
        <f t="shared" si="6"/>
        <v>2</v>
      </c>
      <c r="B416" s="42" t="s">
        <v>1385</v>
      </c>
      <c r="C416" s="13"/>
      <c r="D416" s="14" t="s">
        <v>649</v>
      </c>
      <c r="E416" s="27" t="s">
        <v>1127</v>
      </c>
      <c r="F416" s="20"/>
      <c r="G416" s="20"/>
      <c r="H416" s="15"/>
    </row>
    <row r="417" spans="1:8" s="43" customFormat="1" ht="12">
      <c r="A417" s="42">
        <f t="shared" si="6"/>
        <v>2</v>
      </c>
      <c r="B417" s="42" t="s">
        <v>1385</v>
      </c>
      <c r="C417" s="13"/>
      <c r="D417" s="10" t="s">
        <v>757</v>
      </c>
      <c r="E417" s="27" t="s">
        <v>1127</v>
      </c>
      <c r="F417" s="20"/>
      <c r="G417" s="20"/>
      <c r="H417" s="15"/>
    </row>
    <row r="418" spans="1:8" ht="12">
      <c r="A418" s="33">
        <f t="shared" si="6"/>
        <v>2</v>
      </c>
      <c r="B418" s="33" t="s">
        <v>1386</v>
      </c>
      <c r="C418" s="12" t="s">
        <v>1631</v>
      </c>
      <c r="D418" s="4" t="s">
        <v>79</v>
      </c>
      <c r="E418" s="22" t="s">
        <v>1206</v>
      </c>
      <c r="F418" s="16">
        <v>0</v>
      </c>
      <c r="H418" s="15">
        <f>ROUND((P_2_30.a Qté)*(P_2_30.a PU),2)</f>
        <v>0</v>
      </c>
    </row>
    <row r="419" spans="1:8" ht="12">
      <c r="A419" s="33">
        <f t="shared" si="6"/>
        <v>2</v>
      </c>
      <c r="B419" s="33" t="s">
        <v>1386</v>
      </c>
      <c r="C419" s="12" t="s">
        <v>1632</v>
      </c>
      <c r="D419" s="4" t="s">
        <v>80</v>
      </c>
      <c r="E419" s="22" t="s">
        <v>1206</v>
      </c>
      <c r="F419" s="16">
        <v>0</v>
      </c>
      <c r="H419" s="15">
        <f>ROUND((P_2_30.b Qté)*(P_2_30.b PU),2)</f>
        <v>0</v>
      </c>
    </row>
    <row r="420" spans="1:8" s="43" customFormat="1" ht="12">
      <c r="A420" s="42">
        <f t="shared" si="6"/>
        <v>2</v>
      </c>
      <c r="B420" s="42" t="s">
        <v>1385</v>
      </c>
      <c r="C420" s="13"/>
      <c r="D420" s="10" t="s">
        <v>758</v>
      </c>
      <c r="E420" s="27" t="s">
        <v>1127</v>
      </c>
      <c r="F420" s="20"/>
      <c r="G420" s="20"/>
      <c r="H420" s="15"/>
    </row>
    <row r="421" spans="1:8" ht="12">
      <c r="A421" s="33">
        <f t="shared" si="6"/>
        <v>2</v>
      </c>
      <c r="B421" s="33" t="s">
        <v>1386</v>
      </c>
      <c r="C421" s="12" t="s">
        <v>1633</v>
      </c>
      <c r="D421" s="4" t="s">
        <v>81</v>
      </c>
      <c r="E421" s="22" t="s">
        <v>1206</v>
      </c>
      <c r="F421" s="16">
        <v>0</v>
      </c>
      <c r="H421" s="15">
        <f>ROUND((P_2_30.c Qté)*(P_2_30.c PU),2)</f>
        <v>0</v>
      </c>
    </row>
    <row r="422" spans="1:8" ht="12">
      <c r="A422" s="33">
        <f t="shared" si="6"/>
        <v>2</v>
      </c>
      <c r="B422" s="33" t="s">
        <v>1386</v>
      </c>
      <c r="C422" s="12" t="s">
        <v>1634</v>
      </c>
      <c r="D422" s="4" t="s">
        <v>82</v>
      </c>
      <c r="E422" s="22" t="s">
        <v>1206</v>
      </c>
      <c r="F422" s="16">
        <v>0</v>
      </c>
      <c r="H422" s="15">
        <f>ROUND((P_2_30.d Qté)*(P_2_30.d PU),2)</f>
        <v>0</v>
      </c>
    </row>
    <row r="423" spans="1:8" s="43" customFormat="1" ht="12">
      <c r="A423" s="42">
        <f t="shared" si="6"/>
        <v>2</v>
      </c>
      <c r="B423" s="42" t="s">
        <v>1385</v>
      </c>
      <c r="C423" s="13"/>
      <c r="D423" s="10" t="s">
        <v>759</v>
      </c>
      <c r="E423" s="27" t="s">
        <v>1127</v>
      </c>
      <c r="F423" s="20"/>
      <c r="G423" s="20"/>
      <c r="H423" s="15"/>
    </row>
    <row r="424" spans="1:8" s="43" customFormat="1" ht="12">
      <c r="A424" s="42">
        <f t="shared" si="6"/>
        <v>2</v>
      </c>
      <c r="B424" s="42" t="s">
        <v>1385</v>
      </c>
      <c r="C424" s="13" t="s">
        <v>936</v>
      </c>
      <c r="D424" s="10" t="s">
        <v>760</v>
      </c>
      <c r="E424" s="27" t="s">
        <v>1127</v>
      </c>
      <c r="F424" s="20"/>
      <c r="G424" s="20"/>
      <c r="H424" s="15"/>
    </row>
    <row r="425" spans="1:8" s="43" customFormat="1" ht="12">
      <c r="A425" s="42">
        <f t="shared" si="6"/>
        <v>2</v>
      </c>
      <c r="B425" s="42" t="s">
        <v>1385</v>
      </c>
      <c r="C425" s="13"/>
      <c r="D425" s="10" t="s">
        <v>1226</v>
      </c>
      <c r="E425" s="27" t="s">
        <v>1127</v>
      </c>
      <c r="F425" s="20"/>
      <c r="G425" s="20"/>
      <c r="H425" s="15"/>
    </row>
    <row r="426" spans="1:8" s="43" customFormat="1" ht="12">
      <c r="A426" s="42">
        <f t="shared" si="6"/>
        <v>2</v>
      </c>
      <c r="B426" s="42" t="s">
        <v>1385</v>
      </c>
      <c r="C426" s="13"/>
      <c r="D426" s="14" t="s">
        <v>83</v>
      </c>
      <c r="E426" s="27" t="s">
        <v>1127</v>
      </c>
      <c r="F426" s="20"/>
      <c r="G426" s="20"/>
      <c r="H426" s="15"/>
    </row>
    <row r="427" spans="1:8" s="43" customFormat="1" ht="12">
      <c r="A427" s="42">
        <f t="shared" si="6"/>
        <v>2</v>
      </c>
      <c r="B427" s="42" t="s">
        <v>1385</v>
      </c>
      <c r="C427" s="13"/>
      <c r="D427" s="14" t="s">
        <v>606</v>
      </c>
      <c r="E427" s="27" t="s">
        <v>1127</v>
      </c>
      <c r="F427" s="20"/>
      <c r="G427" s="20"/>
      <c r="H427" s="15"/>
    </row>
    <row r="428" spans="1:8" s="43" customFormat="1" ht="12">
      <c r="A428" s="42">
        <f t="shared" si="6"/>
        <v>2</v>
      </c>
      <c r="B428" s="42" t="s">
        <v>1385</v>
      </c>
      <c r="C428" s="13"/>
      <c r="D428" s="14" t="s">
        <v>607</v>
      </c>
      <c r="E428" s="27" t="s">
        <v>1127</v>
      </c>
      <c r="F428" s="20"/>
      <c r="G428" s="20"/>
      <c r="H428" s="15"/>
    </row>
    <row r="429" spans="1:8" s="43" customFormat="1" ht="12">
      <c r="A429" s="42">
        <f t="shared" si="6"/>
        <v>2</v>
      </c>
      <c r="B429" s="42" t="s">
        <v>1385</v>
      </c>
      <c r="C429" s="13"/>
      <c r="D429" s="14" t="s">
        <v>627</v>
      </c>
      <c r="E429" s="27" t="s">
        <v>1127</v>
      </c>
      <c r="F429" s="20"/>
      <c r="G429" s="20"/>
      <c r="H429" s="15"/>
    </row>
    <row r="430" spans="1:8" s="43" customFormat="1" ht="12">
      <c r="A430" s="42">
        <f t="shared" si="6"/>
        <v>2</v>
      </c>
      <c r="B430" s="42" t="s">
        <v>1385</v>
      </c>
      <c r="C430" s="13"/>
      <c r="D430" s="14" t="s">
        <v>649</v>
      </c>
      <c r="E430" s="27" t="s">
        <v>1127</v>
      </c>
      <c r="F430" s="20"/>
      <c r="G430" s="20"/>
      <c r="H430" s="15"/>
    </row>
    <row r="431" spans="1:8" ht="36">
      <c r="A431" s="33">
        <f t="shared" si="6"/>
        <v>2</v>
      </c>
      <c r="B431" s="33" t="s">
        <v>1386</v>
      </c>
      <c r="C431" s="12" t="s">
        <v>1635</v>
      </c>
      <c r="D431" s="4" t="s">
        <v>84</v>
      </c>
      <c r="E431" s="22" t="s">
        <v>1227</v>
      </c>
      <c r="F431" s="16">
        <v>0</v>
      </c>
      <c r="H431" s="15">
        <f>ROUND((P_2_31.a Qté)*(P_2_31.a PU),2)</f>
        <v>0</v>
      </c>
    </row>
    <row r="432" spans="1:8" ht="36">
      <c r="A432" s="33">
        <f t="shared" si="6"/>
        <v>2</v>
      </c>
      <c r="B432" s="33" t="s">
        <v>1386</v>
      </c>
      <c r="C432" s="12" t="s">
        <v>1636</v>
      </c>
      <c r="D432" s="4" t="s">
        <v>85</v>
      </c>
      <c r="E432" s="22" t="s">
        <v>1227</v>
      </c>
      <c r="F432" s="16">
        <v>0</v>
      </c>
      <c r="H432" s="15">
        <f>ROUND((P_2_31.b Qté)*(P_2_31.b PU),2)</f>
        <v>0</v>
      </c>
    </row>
    <row r="433" spans="1:8" ht="24">
      <c r="A433" s="33">
        <f t="shared" si="6"/>
        <v>2</v>
      </c>
      <c r="B433" s="33" t="s">
        <v>1386</v>
      </c>
      <c r="C433" s="12" t="s">
        <v>1637</v>
      </c>
      <c r="D433" s="4" t="s">
        <v>86</v>
      </c>
      <c r="E433" s="22" t="s">
        <v>1227</v>
      </c>
      <c r="F433" s="16">
        <v>0</v>
      </c>
      <c r="H433" s="15">
        <f>ROUND((P_2_31.c Qté)*(P_2_31.c PU),2)</f>
        <v>0</v>
      </c>
    </row>
    <row r="434" spans="1:8" ht="12">
      <c r="A434" s="33">
        <f t="shared" si="6"/>
        <v>2</v>
      </c>
      <c r="B434" s="33" t="s">
        <v>1386</v>
      </c>
      <c r="C434" s="12" t="s">
        <v>1638</v>
      </c>
      <c r="D434" s="4" t="s">
        <v>87</v>
      </c>
      <c r="E434" s="22" t="s">
        <v>1227</v>
      </c>
      <c r="F434" s="16">
        <v>0</v>
      </c>
      <c r="H434" s="15">
        <f>ROUND((P_2_31.d Qté)*(P_2_31.d PU),2)</f>
        <v>0</v>
      </c>
    </row>
    <row r="435" spans="1:8" s="43" customFormat="1" ht="12">
      <c r="A435" s="42">
        <f t="shared" si="6"/>
        <v>2</v>
      </c>
      <c r="B435" s="42" t="s">
        <v>1385</v>
      </c>
      <c r="C435" s="13" t="s">
        <v>937</v>
      </c>
      <c r="D435" s="10" t="s">
        <v>761</v>
      </c>
      <c r="E435" s="27" t="s">
        <v>1127</v>
      </c>
      <c r="F435" s="20"/>
      <c r="G435" s="20"/>
      <c r="H435" s="15"/>
    </row>
    <row r="436" spans="1:8" s="43" customFormat="1" ht="12">
      <c r="A436" s="42">
        <f t="shared" si="6"/>
        <v>2</v>
      </c>
      <c r="B436" s="42" t="s">
        <v>1385</v>
      </c>
      <c r="C436" s="13"/>
      <c r="D436" s="10" t="s">
        <v>1226</v>
      </c>
      <c r="E436" s="27" t="s">
        <v>1127</v>
      </c>
      <c r="F436" s="20"/>
      <c r="G436" s="20"/>
      <c r="H436" s="15"/>
    </row>
    <row r="437" spans="1:8" s="43" customFormat="1" ht="36">
      <c r="A437" s="42">
        <f t="shared" si="6"/>
        <v>2</v>
      </c>
      <c r="B437" s="42" t="s">
        <v>1385</v>
      </c>
      <c r="C437" s="13"/>
      <c r="D437" s="10" t="s">
        <v>1296</v>
      </c>
      <c r="E437" s="27" t="s">
        <v>1127</v>
      </c>
      <c r="F437" s="20"/>
      <c r="G437" s="20"/>
      <c r="H437" s="15"/>
    </row>
    <row r="438" spans="1:8" s="43" customFormat="1" ht="12">
      <c r="A438" s="42">
        <f t="shared" si="6"/>
        <v>2</v>
      </c>
      <c r="B438" s="42" t="s">
        <v>1385</v>
      </c>
      <c r="C438" s="13"/>
      <c r="D438" s="14" t="s">
        <v>606</v>
      </c>
      <c r="E438" s="27" t="s">
        <v>1127</v>
      </c>
      <c r="F438" s="20"/>
      <c r="G438" s="20"/>
      <c r="H438" s="15"/>
    </row>
    <row r="439" spans="1:8" s="43" customFormat="1" ht="12">
      <c r="A439" s="42">
        <f t="shared" si="6"/>
        <v>2</v>
      </c>
      <c r="B439" s="42" t="s">
        <v>1385</v>
      </c>
      <c r="C439" s="13"/>
      <c r="D439" s="14" t="s">
        <v>607</v>
      </c>
      <c r="E439" s="27" t="s">
        <v>1127</v>
      </c>
      <c r="F439" s="20"/>
      <c r="G439" s="20"/>
      <c r="H439" s="15"/>
    </row>
    <row r="440" spans="1:8" s="43" customFormat="1" ht="12">
      <c r="A440" s="42">
        <f t="shared" si="6"/>
        <v>2</v>
      </c>
      <c r="B440" s="42" t="s">
        <v>1385</v>
      </c>
      <c r="C440" s="13"/>
      <c r="D440" s="14" t="s">
        <v>627</v>
      </c>
      <c r="E440" s="27" t="s">
        <v>1127</v>
      </c>
      <c r="F440" s="20"/>
      <c r="G440" s="20"/>
      <c r="H440" s="15"/>
    </row>
    <row r="441" spans="1:8" s="43" customFormat="1" ht="12">
      <c r="A441" s="42">
        <f t="shared" si="6"/>
        <v>2</v>
      </c>
      <c r="B441" s="42" t="s">
        <v>1385</v>
      </c>
      <c r="C441" s="13"/>
      <c r="D441" s="14" t="s">
        <v>649</v>
      </c>
      <c r="E441" s="27" t="s">
        <v>1127</v>
      </c>
      <c r="F441" s="20"/>
      <c r="G441" s="20"/>
      <c r="H441" s="15"/>
    </row>
    <row r="442" spans="1:8" ht="12">
      <c r="A442" s="33">
        <f t="shared" si="6"/>
        <v>2</v>
      </c>
      <c r="B442" s="33" t="s">
        <v>1386</v>
      </c>
      <c r="C442" s="12" t="s">
        <v>1639</v>
      </c>
      <c r="D442" s="4" t="s">
        <v>88</v>
      </c>
      <c r="E442" s="22" t="s">
        <v>1227</v>
      </c>
      <c r="F442" s="16">
        <v>0</v>
      </c>
      <c r="H442" s="15">
        <f>ROUND((P_2_32.a Qté)*(P_2_32.a PU),2)</f>
        <v>0</v>
      </c>
    </row>
    <row r="443" spans="1:8" ht="12">
      <c r="A443" s="33">
        <f t="shared" si="6"/>
        <v>2</v>
      </c>
      <c r="B443" s="33" t="s">
        <v>1386</v>
      </c>
      <c r="C443" s="12" t="s">
        <v>1640</v>
      </c>
      <c r="D443" s="4" t="s">
        <v>89</v>
      </c>
      <c r="E443" s="22" t="s">
        <v>1227</v>
      </c>
      <c r="F443" s="16">
        <v>0</v>
      </c>
      <c r="H443" s="15">
        <f>ROUND((P_2_32.b Qté)*(P_2_32.b PU),2)</f>
        <v>0</v>
      </c>
    </row>
    <row r="444" spans="1:8" ht="12">
      <c r="A444" s="33">
        <f t="shared" si="6"/>
        <v>2</v>
      </c>
      <c r="B444" s="33" t="s">
        <v>1386</v>
      </c>
      <c r="C444" s="12" t="s">
        <v>1641</v>
      </c>
      <c r="D444" s="4" t="s">
        <v>90</v>
      </c>
      <c r="E444" s="22" t="s">
        <v>1227</v>
      </c>
      <c r="F444" s="16">
        <v>0</v>
      </c>
      <c r="H444" s="15">
        <f>ROUND((P_2_32.c Qté)*(P_2_32.c PU),2)</f>
        <v>0</v>
      </c>
    </row>
    <row r="445" spans="1:8" s="43" customFormat="1" ht="12">
      <c r="A445" s="42">
        <f t="shared" si="6"/>
        <v>2</v>
      </c>
      <c r="B445" s="42" t="s">
        <v>1385</v>
      </c>
      <c r="C445" s="13" t="s">
        <v>938</v>
      </c>
      <c r="D445" s="10" t="s">
        <v>762</v>
      </c>
      <c r="E445" s="27" t="s">
        <v>1127</v>
      </c>
      <c r="F445" s="20"/>
      <c r="G445" s="20"/>
      <c r="H445" s="15"/>
    </row>
    <row r="446" spans="1:8" s="43" customFormat="1" ht="12">
      <c r="A446" s="42">
        <f t="shared" si="6"/>
        <v>2</v>
      </c>
      <c r="B446" s="42" t="s">
        <v>1385</v>
      </c>
      <c r="C446" s="13"/>
      <c r="D446" s="10" t="s">
        <v>1226</v>
      </c>
      <c r="E446" s="27" t="s">
        <v>1127</v>
      </c>
      <c r="F446" s="20"/>
      <c r="G446" s="20"/>
      <c r="H446" s="15"/>
    </row>
    <row r="447" spans="1:8" s="43" customFormat="1" ht="12">
      <c r="A447" s="42">
        <f t="shared" si="6"/>
        <v>2</v>
      </c>
      <c r="B447" s="42" t="s">
        <v>1385</v>
      </c>
      <c r="C447" s="13"/>
      <c r="D447" s="14" t="s">
        <v>91</v>
      </c>
      <c r="E447" s="27" t="s">
        <v>1127</v>
      </c>
      <c r="F447" s="20"/>
      <c r="G447" s="20"/>
      <c r="H447" s="15"/>
    </row>
    <row r="448" spans="1:8" s="43" customFormat="1" ht="12">
      <c r="A448" s="42">
        <f t="shared" si="6"/>
        <v>2</v>
      </c>
      <c r="B448" s="42" t="s">
        <v>1385</v>
      </c>
      <c r="C448" s="13"/>
      <c r="D448" s="14" t="s">
        <v>606</v>
      </c>
      <c r="E448" s="27" t="s">
        <v>1127</v>
      </c>
      <c r="F448" s="20"/>
      <c r="G448" s="20"/>
      <c r="H448" s="15"/>
    </row>
    <row r="449" spans="1:8" s="43" customFormat="1" ht="12">
      <c r="A449" s="42">
        <f t="shared" si="6"/>
        <v>2</v>
      </c>
      <c r="B449" s="42" t="s">
        <v>1385</v>
      </c>
      <c r="C449" s="13"/>
      <c r="D449" s="14" t="s">
        <v>607</v>
      </c>
      <c r="E449" s="27" t="s">
        <v>1127</v>
      </c>
      <c r="F449" s="20"/>
      <c r="G449" s="20"/>
      <c r="H449" s="15"/>
    </row>
    <row r="450" spans="1:8" s="43" customFormat="1" ht="12">
      <c r="A450" s="42">
        <f t="shared" si="6"/>
        <v>2</v>
      </c>
      <c r="B450" s="42" t="s">
        <v>1385</v>
      </c>
      <c r="C450" s="13"/>
      <c r="D450" s="14" t="s">
        <v>627</v>
      </c>
      <c r="E450" s="27" t="s">
        <v>1127</v>
      </c>
      <c r="F450" s="20"/>
      <c r="G450" s="20"/>
      <c r="H450" s="15"/>
    </row>
    <row r="451" spans="1:8" s="43" customFormat="1" ht="12">
      <c r="A451" s="42">
        <f t="shared" si="6"/>
        <v>2</v>
      </c>
      <c r="B451" s="42" t="s">
        <v>1385</v>
      </c>
      <c r="C451" s="13"/>
      <c r="D451" s="14" t="s">
        <v>649</v>
      </c>
      <c r="E451" s="27" t="s">
        <v>1127</v>
      </c>
      <c r="F451" s="20"/>
      <c r="G451" s="20"/>
      <c r="H451" s="15"/>
    </row>
    <row r="452" spans="1:8" ht="12">
      <c r="A452" s="33">
        <f t="shared" si="6"/>
        <v>2</v>
      </c>
      <c r="B452" s="33" t="s">
        <v>1386</v>
      </c>
      <c r="C452" s="12" t="s">
        <v>1642</v>
      </c>
      <c r="D452" s="4" t="s">
        <v>92</v>
      </c>
      <c r="E452" s="22" t="s">
        <v>1227</v>
      </c>
      <c r="F452" s="16">
        <v>0</v>
      </c>
      <c r="H452" s="15">
        <f>ROUND((P_2_33.a Qté)*(P_2_33.a PU),2)</f>
        <v>0</v>
      </c>
    </row>
    <row r="453" spans="1:8" s="43" customFormat="1" ht="12">
      <c r="A453" s="42">
        <f aca="true" t="shared" si="7" ref="A453:A516">A452</f>
        <v>2</v>
      </c>
      <c r="B453" s="42" t="s">
        <v>1385</v>
      </c>
      <c r="C453" s="13"/>
      <c r="D453" s="10" t="s">
        <v>763</v>
      </c>
      <c r="E453" s="27" t="s">
        <v>1127</v>
      </c>
      <c r="F453" s="20"/>
      <c r="G453" s="20"/>
      <c r="H453" s="15"/>
    </row>
    <row r="454" spans="1:8" s="43" customFormat="1" ht="12">
      <c r="A454" s="42">
        <f t="shared" si="7"/>
        <v>2</v>
      </c>
      <c r="B454" s="42" t="s">
        <v>1385</v>
      </c>
      <c r="C454" s="13"/>
      <c r="D454" s="10" t="s">
        <v>764</v>
      </c>
      <c r="E454" s="27" t="s">
        <v>1127</v>
      </c>
      <c r="F454" s="20"/>
      <c r="G454" s="20"/>
      <c r="H454" s="15"/>
    </row>
    <row r="455" spans="1:8" ht="24">
      <c r="A455" s="33">
        <f t="shared" si="7"/>
        <v>2</v>
      </c>
      <c r="B455" s="33" t="s">
        <v>1386</v>
      </c>
      <c r="C455" s="12" t="s">
        <v>939</v>
      </c>
      <c r="D455" s="4" t="s">
        <v>765</v>
      </c>
      <c r="E455" s="22" t="s">
        <v>1174</v>
      </c>
      <c r="F455" s="16">
        <v>0</v>
      </c>
      <c r="H455" s="15">
        <f>ROUND((P_2_34 Qté)*(P_2_34 PU),2)</f>
        <v>0</v>
      </c>
    </row>
    <row r="456" spans="1:8" s="43" customFormat="1" ht="12">
      <c r="A456" s="42">
        <f t="shared" si="7"/>
        <v>2</v>
      </c>
      <c r="B456" s="42" t="s">
        <v>1385</v>
      </c>
      <c r="C456" s="13"/>
      <c r="D456" s="10" t="s">
        <v>1205</v>
      </c>
      <c r="E456" s="27" t="s">
        <v>1127</v>
      </c>
      <c r="F456" s="20"/>
      <c r="G456" s="20"/>
      <c r="H456" s="15"/>
    </row>
    <row r="457" spans="1:8" s="43" customFormat="1" ht="36">
      <c r="A457" s="42">
        <f t="shared" si="7"/>
        <v>2</v>
      </c>
      <c r="B457" s="42" t="s">
        <v>1385</v>
      </c>
      <c r="C457" s="13"/>
      <c r="D457" s="14" t="s">
        <v>93</v>
      </c>
      <c r="E457" s="27" t="s">
        <v>1127</v>
      </c>
      <c r="F457" s="20"/>
      <c r="G457" s="20"/>
      <c r="H457" s="15"/>
    </row>
    <row r="458" spans="1:8" s="43" customFormat="1" ht="12">
      <c r="A458" s="42">
        <f t="shared" si="7"/>
        <v>2</v>
      </c>
      <c r="B458" s="42" t="s">
        <v>1385</v>
      </c>
      <c r="C458" s="13"/>
      <c r="D458" s="14" t="s">
        <v>94</v>
      </c>
      <c r="E458" s="27" t="s">
        <v>1127</v>
      </c>
      <c r="F458" s="20"/>
      <c r="G458" s="20"/>
      <c r="H458" s="15"/>
    </row>
    <row r="459" spans="1:8" s="43" customFormat="1" ht="12">
      <c r="A459" s="42">
        <f t="shared" si="7"/>
        <v>2</v>
      </c>
      <c r="B459" s="42" t="s">
        <v>1385</v>
      </c>
      <c r="C459" s="13"/>
      <c r="D459" s="14" t="s">
        <v>95</v>
      </c>
      <c r="E459" s="27" t="s">
        <v>1127</v>
      </c>
      <c r="F459" s="20"/>
      <c r="G459" s="20"/>
      <c r="H459" s="15"/>
    </row>
    <row r="460" spans="1:8" s="43" customFormat="1" ht="24">
      <c r="A460" s="42">
        <f t="shared" si="7"/>
        <v>2</v>
      </c>
      <c r="B460" s="42" t="s">
        <v>1385</v>
      </c>
      <c r="C460" s="13" t="s">
        <v>940</v>
      </c>
      <c r="D460" s="10" t="s">
        <v>766</v>
      </c>
      <c r="E460" s="27" t="s">
        <v>1127</v>
      </c>
      <c r="F460" s="20"/>
      <c r="G460" s="20"/>
      <c r="H460" s="15"/>
    </row>
    <row r="461" spans="1:8" s="43" customFormat="1" ht="48">
      <c r="A461" s="42">
        <f t="shared" si="7"/>
        <v>2</v>
      </c>
      <c r="B461" s="42" t="s">
        <v>1385</v>
      </c>
      <c r="C461" s="13"/>
      <c r="D461" s="10" t="s">
        <v>767</v>
      </c>
      <c r="E461" s="27" t="s">
        <v>1127</v>
      </c>
      <c r="F461" s="20"/>
      <c r="G461" s="20"/>
      <c r="H461" s="15"/>
    </row>
    <row r="462" spans="1:8" s="43" customFormat="1" ht="12">
      <c r="A462" s="42">
        <f t="shared" si="7"/>
        <v>2</v>
      </c>
      <c r="B462" s="42" t="s">
        <v>1385</v>
      </c>
      <c r="C462" s="13"/>
      <c r="D462" s="14" t="s">
        <v>96</v>
      </c>
      <c r="E462" s="27" t="s">
        <v>1127</v>
      </c>
      <c r="F462" s="20"/>
      <c r="G462" s="20"/>
      <c r="H462" s="15"/>
    </row>
    <row r="463" spans="1:8" s="43" customFormat="1" ht="12">
      <c r="A463" s="42">
        <f t="shared" si="7"/>
        <v>2</v>
      </c>
      <c r="B463" s="42" t="s">
        <v>1385</v>
      </c>
      <c r="C463" s="13"/>
      <c r="D463" s="14" t="s">
        <v>97</v>
      </c>
      <c r="E463" s="27" t="s">
        <v>1127</v>
      </c>
      <c r="F463" s="20"/>
      <c r="G463" s="20"/>
      <c r="H463" s="15"/>
    </row>
    <row r="464" spans="1:8" s="43" customFormat="1" ht="12">
      <c r="A464" s="42">
        <f t="shared" si="7"/>
        <v>2</v>
      </c>
      <c r="B464" s="42" t="s">
        <v>1385</v>
      </c>
      <c r="C464" s="13"/>
      <c r="D464" s="14" t="s">
        <v>98</v>
      </c>
      <c r="E464" s="27" t="s">
        <v>1127</v>
      </c>
      <c r="F464" s="20"/>
      <c r="G464" s="20"/>
      <c r="H464" s="15"/>
    </row>
    <row r="465" spans="1:8" s="43" customFormat="1" ht="24">
      <c r="A465" s="42">
        <f t="shared" si="7"/>
        <v>2</v>
      </c>
      <c r="B465" s="42" t="s">
        <v>1385</v>
      </c>
      <c r="C465" s="13"/>
      <c r="D465" s="14" t="s">
        <v>99</v>
      </c>
      <c r="E465" s="27" t="s">
        <v>1127</v>
      </c>
      <c r="F465" s="20"/>
      <c r="G465" s="20"/>
      <c r="H465" s="15"/>
    </row>
    <row r="466" spans="1:8" s="43" customFormat="1" ht="12">
      <c r="A466" s="42">
        <f t="shared" si="7"/>
        <v>2</v>
      </c>
      <c r="B466" s="42" t="s">
        <v>1385</v>
      </c>
      <c r="C466" s="13"/>
      <c r="D466" s="14" t="s">
        <v>100</v>
      </c>
      <c r="E466" s="27" t="s">
        <v>1127</v>
      </c>
      <c r="F466" s="20"/>
      <c r="G466" s="20"/>
      <c r="H466" s="15"/>
    </row>
    <row r="467" spans="1:8" s="43" customFormat="1" ht="12">
      <c r="A467" s="42">
        <f t="shared" si="7"/>
        <v>2</v>
      </c>
      <c r="B467" s="42" t="s">
        <v>1385</v>
      </c>
      <c r="C467" s="13"/>
      <c r="D467" s="14" t="s">
        <v>637</v>
      </c>
      <c r="E467" s="27" t="s">
        <v>1127</v>
      </c>
      <c r="F467" s="20"/>
      <c r="G467" s="20"/>
      <c r="H467" s="15"/>
    </row>
    <row r="468" spans="1:8" ht="12">
      <c r="A468" s="33">
        <f t="shared" si="7"/>
        <v>2</v>
      </c>
      <c r="B468" s="33" t="s">
        <v>1386</v>
      </c>
      <c r="C468" s="12" t="s">
        <v>1643</v>
      </c>
      <c r="D468" s="4" t="s">
        <v>101</v>
      </c>
      <c r="E468" s="22" t="s">
        <v>1206</v>
      </c>
      <c r="F468" s="16">
        <v>0</v>
      </c>
      <c r="H468" s="15">
        <f>ROUND((P_2_35.a Qté)*(P_2_35.a PU),2)</f>
        <v>0</v>
      </c>
    </row>
    <row r="469" spans="1:8" ht="12">
      <c r="A469" s="33">
        <f t="shared" si="7"/>
        <v>2</v>
      </c>
      <c r="B469" s="33" t="s">
        <v>1386</v>
      </c>
      <c r="C469" s="12" t="s">
        <v>1644</v>
      </c>
      <c r="D469" s="4" t="s">
        <v>102</v>
      </c>
      <c r="E469" s="22" t="s">
        <v>1206</v>
      </c>
      <c r="F469" s="16">
        <v>0</v>
      </c>
      <c r="H469" s="15">
        <f>ROUND((P_2_35.b Qté)*(P_2_35.b PU),2)</f>
        <v>0</v>
      </c>
    </row>
    <row r="470" spans="1:8" s="43" customFormat="1" ht="24">
      <c r="A470" s="42">
        <f t="shared" si="7"/>
        <v>2</v>
      </c>
      <c r="B470" s="42" t="s">
        <v>1385</v>
      </c>
      <c r="C470" s="13" t="s">
        <v>941</v>
      </c>
      <c r="D470" s="10" t="s">
        <v>768</v>
      </c>
      <c r="E470" s="27" t="s">
        <v>1127</v>
      </c>
      <c r="F470" s="20"/>
      <c r="G470" s="20"/>
      <c r="H470" s="15"/>
    </row>
    <row r="471" spans="1:8" s="43" customFormat="1" ht="36">
      <c r="A471" s="42">
        <f t="shared" si="7"/>
        <v>2</v>
      </c>
      <c r="B471" s="42" t="s">
        <v>1385</v>
      </c>
      <c r="C471" s="13"/>
      <c r="D471" s="10" t="s">
        <v>769</v>
      </c>
      <c r="E471" s="27" t="s">
        <v>1127</v>
      </c>
      <c r="F471" s="20"/>
      <c r="G471" s="20"/>
      <c r="H471" s="15"/>
    </row>
    <row r="472" spans="1:8" s="43" customFormat="1" ht="12">
      <c r="A472" s="42">
        <f t="shared" si="7"/>
        <v>2</v>
      </c>
      <c r="B472" s="42" t="s">
        <v>1385</v>
      </c>
      <c r="C472" s="13"/>
      <c r="D472" s="14" t="s">
        <v>103</v>
      </c>
      <c r="E472" s="27" t="s">
        <v>1127</v>
      </c>
      <c r="F472" s="20"/>
      <c r="G472" s="20"/>
      <c r="H472" s="15"/>
    </row>
    <row r="473" spans="1:8" s="43" customFormat="1" ht="24">
      <c r="A473" s="42">
        <f t="shared" si="7"/>
        <v>2</v>
      </c>
      <c r="B473" s="42" t="s">
        <v>1385</v>
      </c>
      <c r="C473" s="13"/>
      <c r="D473" s="14" t="s">
        <v>104</v>
      </c>
      <c r="E473" s="27" t="s">
        <v>1127</v>
      </c>
      <c r="F473" s="20"/>
      <c r="G473" s="20"/>
      <c r="H473" s="15"/>
    </row>
    <row r="474" spans="1:8" s="43" customFormat="1" ht="24">
      <c r="A474" s="42">
        <f t="shared" si="7"/>
        <v>2</v>
      </c>
      <c r="B474" s="42" t="s">
        <v>1385</v>
      </c>
      <c r="C474" s="13"/>
      <c r="D474" s="14" t="s">
        <v>105</v>
      </c>
      <c r="E474" s="27" t="s">
        <v>1127</v>
      </c>
      <c r="F474" s="20"/>
      <c r="G474" s="20"/>
      <c r="H474" s="15"/>
    </row>
    <row r="475" spans="1:8" s="43" customFormat="1" ht="24">
      <c r="A475" s="42">
        <f t="shared" si="7"/>
        <v>2</v>
      </c>
      <c r="B475" s="42" t="s">
        <v>1385</v>
      </c>
      <c r="C475" s="13"/>
      <c r="D475" s="14" t="s">
        <v>106</v>
      </c>
      <c r="E475" s="27" t="s">
        <v>1127</v>
      </c>
      <c r="F475" s="20"/>
      <c r="G475" s="20"/>
      <c r="H475" s="15"/>
    </row>
    <row r="476" spans="1:8" s="43" customFormat="1" ht="36">
      <c r="A476" s="42">
        <f t="shared" si="7"/>
        <v>2</v>
      </c>
      <c r="B476" s="42" t="s">
        <v>1385</v>
      </c>
      <c r="C476" s="13"/>
      <c r="D476" s="14" t="s">
        <v>107</v>
      </c>
      <c r="E476" s="27" t="s">
        <v>1127</v>
      </c>
      <c r="F476" s="20"/>
      <c r="G476" s="20"/>
      <c r="H476" s="15"/>
    </row>
    <row r="477" spans="1:8" s="43" customFormat="1" ht="12">
      <c r="A477" s="42">
        <f t="shared" si="7"/>
        <v>2</v>
      </c>
      <c r="B477" s="42" t="s">
        <v>1385</v>
      </c>
      <c r="C477" s="13"/>
      <c r="D477" s="14" t="s">
        <v>95</v>
      </c>
      <c r="E477" s="27" t="s">
        <v>1127</v>
      </c>
      <c r="F477" s="20"/>
      <c r="G477" s="20"/>
      <c r="H477" s="15"/>
    </row>
    <row r="478" spans="1:8" ht="24">
      <c r="A478" s="33">
        <f t="shared" si="7"/>
        <v>2</v>
      </c>
      <c r="B478" s="33" t="s">
        <v>1386</v>
      </c>
      <c r="C478" s="12" t="s">
        <v>1645</v>
      </c>
      <c r="D478" s="4" t="s">
        <v>108</v>
      </c>
      <c r="E478" s="22" t="s">
        <v>1213</v>
      </c>
      <c r="F478" s="16">
        <v>0</v>
      </c>
      <c r="H478" s="15">
        <f>ROUND((P_2_36.a Qté)*(P_2_36.a PU),2)</f>
        <v>0</v>
      </c>
    </row>
    <row r="479" spans="1:8" ht="24">
      <c r="A479" s="33">
        <f t="shared" si="7"/>
        <v>2</v>
      </c>
      <c r="B479" s="33" t="s">
        <v>1386</v>
      </c>
      <c r="C479" s="12" t="s">
        <v>1375</v>
      </c>
      <c r="D479" s="4" t="s">
        <v>109</v>
      </c>
      <c r="E479" s="22" t="s">
        <v>1213</v>
      </c>
      <c r="F479" s="16">
        <v>0</v>
      </c>
      <c r="H479" s="15">
        <f>ROUND((P_2_36.b Qté)*(P_2_36.b PU),2)</f>
        <v>0</v>
      </c>
    </row>
    <row r="480" spans="1:8" s="43" customFormat="1" ht="24">
      <c r="A480" s="42">
        <f t="shared" si="7"/>
        <v>2</v>
      </c>
      <c r="B480" s="42" t="s">
        <v>1385</v>
      </c>
      <c r="C480" s="13" t="s">
        <v>942</v>
      </c>
      <c r="D480" s="10" t="s">
        <v>1297</v>
      </c>
      <c r="E480" s="27" t="s">
        <v>1127</v>
      </c>
      <c r="F480" s="20"/>
      <c r="G480" s="20"/>
      <c r="H480" s="15"/>
    </row>
    <row r="481" spans="1:8" ht="24">
      <c r="A481" s="33">
        <f t="shared" si="7"/>
        <v>2</v>
      </c>
      <c r="B481" s="33" t="s">
        <v>1386</v>
      </c>
      <c r="C481" s="12" t="s">
        <v>1646</v>
      </c>
      <c r="D481" s="4" t="s">
        <v>108</v>
      </c>
      <c r="E481" s="22" t="s">
        <v>1213</v>
      </c>
      <c r="F481" s="16">
        <v>0</v>
      </c>
      <c r="H481" s="15">
        <f>ROUND((P_2_37.a Qté)*(P_2_37.a PU),2)</f>
        <v>0</v>
      </c>
    </row>
    <row r="482" spans="1:8" ht="24">
      <c r="A482" s="33">
        <f t="shared" si="7"/>
        <v>2</v>
      </c>
      <c r="B482" s="33" t="s">
        <v>1386</v>
      </c>
      <c r="C482" s="12" t="s">
        <v>1647</v>
      </c>
      <c r="D482" s="4" t="s">
        <v>109</v>
      </c>
      <c r="E482" s="22" t="s">
        <v>1213</v>
      </c>
      <c r="F482" s="16">
        <v>0</v>
      </c>
      <c r="H482" s="15">
        <f>ROUND((P_2_37.b Qté)*(P_2_37.b PU),2)</f>
        <v>0</v>
      </c>
    </row>
    <row r="483" spans="1:8" ht="24">
      <c r="A483" s="33">
        <f t="shared" si="7"/>
        <v>2</v>
      </c>
      <c r="B483" s="33" t="s">
        <v>1386</v>
      </c>
      <c r="C483" s="12" t="s">
        <v>943</v>
      </c>
      <c r="D483" s="4" t="s">
        <v>770</v>
      </c>
      <c r="E483" s="22" t="s">
        <v>1174</v>
      </c>
      <c r="F483" s="16">
        <v>0</v>
      </c>
      <c r="H483" s="15">
        <f>ROUND((P_2_38 Qté)*(P_2_38 PU),2)</f>
        <v>0</v>
      </c>
    </row>
    <row r="484" spans="1:8" s="43" customFormat="1" ht="36">
      <c r="A484" s="42">
        <f t="shared" si="7"/>
        <v>2</v>
      </c>
      <c r="B484" s="42" t="s">
        <v>1385</v>
      </c>
      <c r="C484" s="13"/>
      <c r="D484" s="10" t="s">
        <v>771</v>
      </c>
      <c r="E484" s="27" t="s">
        <v>1127</v>
      </c>
      <c r="F484" s="20"/>
      <c r="G484" s="20"/>
      <c r="H484" s="15"/>
    </row>
    <row r="485" spans="1:8" s="43" customFormat="1" ht="12">
      <c r="A485" s="42">
        <f t="shared" si="7"/>
        <v>2</v>
      </c>
      <c r="B485" s="42" t="s">
        <v>1385</v>
      </c>
      <c r="C485" s="13"/>
      <c r="D485" s="14" t="s">
        <v>103</v>
      </c>
      <c r="E485" s="27" t="s">
        <v>1127</v>
      </c>
      <c r="F485" s="20"/>
      <c r="G485" s="20"/>
      <c r="H485" s="15"/>
    </row>
    <row r="486" spans="1:8" s="43" customFormat="1" ht="24">
      <c r="A486" s="42">
        <f t="shared" si="7"/>
        <v>2</v>
      </c>
      <c r="B486" s="42" t="s">
        <v>1385</v>
      </c>
      <c r="C486" s="13"/>
      <c r="D486" s="14" t="s">
        <v>104</v>
      </c>
      <c r="E486" s="27" t="s">
        <v>1127</v>
      </c>
      <c r="F486" s="20"/>
      <c r="G486" s="20"/>
      <c r="H486" s="15"/>
    </row>
    <row r="487" spans="1:8" s="43" customFormat="1" ht="24">
      <c r="A487" s="42">
        <f t="shared" si="7"/>
        <v>2</v>
      </c>
      <c r="B487" s="42" t="s">
        <v>1385</v>
      </c>
      <c r="C487" s="13"/>
      <c r="D487" s="14" t="s">
        <v>106</v>
      </c>
      <c r="E487" s="27" t="s">
        <v>1127</v>
      </c>
      <c r="F487" s="20"/>
      <c r="G487" s="20"/>
      <c r="H487" s="15"/>
    </row>
    <row r="488" spans="1:8" s="43" customFormat="1" ht="36">
      <c r="A488" s="42">
        <f t="shared" si="7"/>
        <v>2</v>
      </c>
      <c r="B488" s="42" t="s">
        <v>1385</v>
      </c>
      <c r="C488" s="13"/>
      <c r="D488" s="14" t="s">
        <v>107</v>
      </c>
      <c r="E488" s="27" t="s">
        <v>1127</v>
      </c>
      <c r="F488" s="20"/>
      <c r="G488" s="20"/>
      <c r="H488" s="15"/>
    </row>
    <row r="489" spans="1:8" s="43" customFormat="1" ht="12">
      <c r="A489" s="42">
        <f t="shared" si="7"/>
        <v>2</v>
      </c>
      <c r="B489" s="42" t="s">
        <v>1385</v>
      </c>
      <c r="C489" s="13"/>
      <c r="D489" s="14" t="s">
        <v>95</v>
      </c>
      <c r="E489" s="27" t="s">
        <v>1127</v>
      </c>
      <c r="F489" s="20"/>
      <c r="G489" s="20"/>
      <c r="H489" s="15"/>
    </row>
    <row r="490" spans="1:8" ht="24">
      <c r="A490" s="33">
        <f t="shared" si="7"/>
        <v>2</v>
      </c>
      <c r="B490" s="33" t="s">
        <v>1386</v>
      </c>
      <c r="C490" s="12" t="s">
        <v>1648</v>
      </c>
      <c r="D490" s="4" t="s">
        <v>1298</v>
      </c>
      <c r="E490" s="22" t="s">
        <v>1174</v>
      </c>
      <c r="F490" s="16">
        <v>0</v>
      </c>
      <c r="H490" s="15">
        <f>ROUND((P_2_38.1 Qté)*(P_2_38.1 PU),2)</f>
        <v>0</v>
      </c>
    </row>
    <row r="491" spans="1:8" s="43" customFormat="1" ht="24">
      <c r="A491" s="42">
        <f t="shared" si="7"/>
        <v>2</v>
      </c>
      <c r="B491" s="42" t="s">
        <v>1385</v>
      </c>
      <c r="C491" s="13" t="s">
        <v>944</v>
      </c>
      <c r="D491" s="10" t="s">
        <v>772</v>
      </c>
      <c r="E491" s="27" t="s">
        <v>1127</v>
      </c>
      <c r="F491" s="20"/>
      <c r="G491" s="20"/>
      <c r="H491" s="15"/>
    </row>
    <row r="492" spans="1:8" s="43" customFormat="1" ht="36">
      <c r="A492" s="42">
        <f t="shared" si="7"/>
        <v>2</v>
      </c>
      <c r="B492" s="42" t="s">
        <v>1385</v>
      </c>
      <c r="C492" s="13"/>
      <c r="D492" s="10" t="s">
        <v>773</v>
      </c>
      <c r="E492" s="27" t="s">
        <v>1127</v>
      </c>
      <c r="F492" s="20"/>
      <c r="G492" s="20"/>
      <c r="H492" s="15"/>
    </row>
    <row r="493" spans="1:8" s="43" customFormat="1" ht="36">
      <c r="A493" s="42">
        <f t="shared" si="7"/>
        <v>2</v>
      </c>
      <c r="B493" s="42" t="s">
        <v>1385</v>
      </c>
      <c r="C493" s="13"/>
      <c r="D493" s="14" t="s">
        <v>110</v>
      </c>
      <c r="E493" s="27" t="s">
        <v>1127</v>
      </c>
      <c r="F493" s="20"/>
      <c r="G493" s="20"/>
      <c r="H493" s="15"/>
    </row>
    <row r="494" spans="1:8" s="43" customFormat="1" ht="12">
      <c r="A494" s="42">
        <f t="shared" si="7"/>
        <v>2</v>
      </c>
      <c r="B494" s="42" t="s">
        <v>1385</v>
      </c>
      <c r="C494" s="13"/>
      <c r="D494" s="14" t="s">
        <v>103</v>
      </c>
      <c r="E494" s="27" t="s">
        <v>1127</v>
      </c>
      <c r="F494" s="20"/>
      <c r="G494" s="20"/>
      <c r="H494" s="15"/>
    </row>
    <row r="495" spans="1:8" s="43" customFormat="1" ht="24">
      <c r="A495" s="42">
        <f t="shared" si="7"/>
        <v>2</v>
      </c>
      <c r="B495" s="42" t="s">
        <v>1385</v>
      </c>
      <c r="C495" s="13"/>
      <c r="D495" s="14" t="s">
        <v>111</v>
      </c>
      <c r="E495" s="27" t="s">
        <v>1127</v>
      </c>
      <c r="F495" s="20"/>
      <c r="G495" s="20"/>
      <c r="H495" s="15"/>
    </row>
    <row r="496" spans="1:8" s="43" customFormat="1" ht="24">
      <c r="A496" s="42">
        <f t="shared" si="7"/>
        <v>2</v>
      </c>
      <c r="B496" s="42" t="s">
        <v>1385</v>
      </c>
      <c r="C496" s="13"/>
      <c r="D496" s="14" t="s">
        <v>112</v>
      </c>
      <c r="E496" s="27" t="s">
        <v>1127</v>
      </c>
      <c r="F496" s="20"/>
      <c r="G496" s="20"/>
      <c r="H496" s="15"/>
    </row>
    <row r="497" spans="1:8" s="43" customFormat="1" ht="12">
      <c r="A497" s="42">
        <f t="shared" si="7"/>
        <v>2</v>
      </c>
      <c r="B497" s="42" t="s">
        <v>1385</v>
      </c>
      <c r="C497" s="13"/>
      <c r="D497" s="14" t="s">
        <v>113</v>
      </c>
      <c r="E497" s="27" t="s">
        <v>1127</v>
      </c>
      <c r="F497" s="20"/>
      <c r="G497" s="20"/>
      <c r="H497" s="15"/>
    </row>
    <row r="498" spans="1:8" s="43" customFormat="1" ht="24">
      <c r="A498" s="42">
        <f t="shared" si="7"/>
        <v>2</v>
      </c>
      <c r="B498" s="42" t="s">
        <v>1385</v>
      </c>
      <c r="C498" s="13"/>
      <c r="D498" s="14" t="s">
        <v>114</v>
      </c>
      <c r="E498" s="27" t="s">
        <v>1127</v>
      </c>
      <c r="F498" s="20"/>
      <c r="G498" s="20"/>
      <c r="H498" s="15"/>
    </row>
    <row r="499" spans="1:8" s="43" customFormat="1" ht="24">
      <c r="A499" s="42">
        <f t="shared" si="7"/>
        <v>2</v>
      </c>
      <c r="B499" s="42" t="s">
        <v>1385</v>
      </c>
      <c r="C499" s="13"/>
      <c r="D499" s="14" t="s">
        <v>115</v>
      </c>
      <c r="E499" s="27" t="s">
        <v>1127</v>
      </c>
      <c r="F499" s="20"/>
      <c r="G499" s="20"/>
      <c r="H499" s="15"/>
    </row>
    <row r="500" spans="1:8" s="43" customFormat="1" ht="60">
      <c r="A500" s="42">
        <f t="shared" si="7"/>
        <v>2</v>
      </c>
      <c r="B500" s="42" t="s">
        <v>1385</v>
      </c>
      <c r="C500" s="13"/>
      <c r="D500" s="14" t="s">
        <v>116</v>
      </c>
      <c r="E500" s="27" t="s">
        <v>1127</v>
      </c>
      <c r="F500" s="20"/>
      <c r="G500" s="20"/>
      <c r="H500" s="15"/>
    </row>
    <row r="501" spans="1:8" s="43" customFormat="1" ht="24">
      <c r="A501" s="42">
        <f t="shared" si="7"/>
        <v>2</v>
      </c>
      <c r="B501" s="42" t="s">
        <v>1385</v>
      </c>
      <c r="C501" s="13"/>
      <c r="D501" s="14" t="s">
        <v>117</v>
      </c>
      <c r="E501" s="27" t="s">
        <v>1127</v>
      </c>
      <c r="F501" s="20"/>
      <c r="G501" s="20"/>
      <c r="H501" s="15"/>
    </row>
    <row r="502" spans="1:8" s="43" customFormat="1" ht="36">
      <c r="A502" s="42">
        <f t="shared" si="7"/>
        <v>2</v>
      </c>
      <c r="B502" s="42" t="s">
        <v>1385</v>
      </c>
      <c r="C502" s="13"/>
      <c r="D502" s="14" t="s">
        <v>118</v>
      </c>
      <c r="E502" s="27" t="s">
        <v>1127</v>
      </c>
      <c r="F502" s="20"/>
      <c r="G502" s="20"/>
      <c r="H502" s="15"/>
    </row>
    <row r="503" spans="1:8" s="43" customFormat="1" ht="36">
      <c r="A503" s="42">
        <f t="shared" si="7"/>
        <v>2</v>
      </c>
      <c r="B503" s="42" t="s">
        <v>1385</v>
      </c>
      <c r="C503" s="13"/>
      <c r="D503" s="14" t="s">
        <v>119</v>
      </c>
      <c r="E503" s="27" t="s">
        <v>1127</v>
      </c>
      <c r="F503" s="20"/>
      <c r="G503" s="20"/>
      <c r="H503" s="15"/>
    </row>
    <row r="504" spans="1:8" s="43" customFormat="1" ht="36">
      <c r="A504" s="42">
        <f t="shared" si="7"/>
        <v>2</v>
      </c>
      <c r="B504" s="42" t="s">
        <v>1385</v>
      </c>
      <c r="C504" s="13"/>
      <c r="D504" s="14" t="s">
        <v>120</v>
      </c>
      <c r="E504" s="27" t="s">
        <v>1127</v>
      </c>
      <c r="F504" s="20"/>
      <c r="G504" s="20"/>
      <c r="H504" s="15"/>
    </row>
    <row r="505" spans="1:8" s="43" customFormat="1" ht="12">
      <c r="A505" s="42">
        <f t="shared" si="7"/>
        <v>2</v>
      </c>
      <c r="B505" s="42" t="s">
        <v>1385</v>
      </c>
      <c r="C505" s="13"/>
      <c r="D505" s="14" t="s">
        <v>95</v>
      </c>
      <c r="E505" s="27" t="s">
        <v>1127</v>
      </c>
      <c r="F505" s="20"/>
      <c r="G505" s="20"/>
      <c r="H505" s="15"/>
    </row>
    <row r="506" spans="1:8" s="3" customFormat="1" ht="12">
      <c r="A506" s="41">
        <f t="shared" si="7"/>
        <v>2</v>
      </c>
      <c r="B506" s="41" t="s">
        <v>1386</v>
      </c>
      <c r="C506" s="1" t="s">
        <v>1649</v>
      </c>
      <c r="D506" s="2" t="s">
        <v>121</v>
      </c>
      <c r="E506" s="26" t="s">
        <v>1213</v>
      </c>
      <c r="F506" s="19">
        <v>0</v>
      </c>
      <c r="G506" s="19"/>
      <c r="H506" s="17">
        <f>ROUND((P_2_39.a Qté)*(P_2_39.a PU),2)</f>
        <v>0</v>
      </c>
    </row>
    <row r="507" spans="1:8" s="3" customFormat="1" ht="12">
      <c r="A507" s="41">
        <f t="shared" si="7"/>
        <v>2</v>
      </c>
      <c r="B507" s="41" t="s">
        <v>1386</v>
      </c>
      <c r="C507" s="1" t="s">
        <v>1238</v>
      </c>
      <c r="D507" s="2" t="s">
        <v>122</v>
      </c>
      <c r="E507" s="26" t="s">
        <v>1213</v>
      </c>
      <c r="F507" s="19">
        <v>0</v>
      </c>
      <c r="G507" s="19"/>
      <c r="H507" s="17">
        <f>ROUND((P_2_39.b Qté)*(P_2_39.b PU),2)</f>
        <v>0</v>
      </c>
    </row>
    <row r="508" spans="1:8" s="3" customFormat="1" ht="12">
      <c r="A508" s="41">
        <f t="shared" si="7"/>
        <v>2</v>
      </c>
      <c r="B508" s="41" t="s">
        <v>1386</v>
      </c>
      <c r="C508" s="1" t="s">
        <v>1237</v>
      </c>
      <c r="D508" s="2" t="s">
        <v>123</v>
      </c>
      <c r="E508" s="26" t="s">
        <v>1213</v>
      </c>
      <c r="F508" s="19">
        <v>0</v>
      </c>
      <c r="G508" s="19"/>
      <c r="H508" s="17">
        <f>ROUND((P_2_39.c Qté)*(P_2_39.c PU),2)</f>
        <v>0</v>
      </c>
    </row>
    <row r="509" spans="1:8" s="40" customFormat="1" ht="24">
      <c r="A509" s="39">
        <f t="shared" si="7"/>
        <v>2</v>
      </c>
      <c r="B509" s="39" t="s">
        <v>1385</v>
      </c>
      <c r="C509" s="7" t="s">
        <v>945</v>
      </c>
      <c r="D509" s="8" t="s">
        <v>774</v>
      </c>
      <c r="E509" s="25" t="s">
        <v>1127</v>
      </c>
      <c r="F509" s="18"/>
      <c r="G509" s="18"/>
      <c r="H509" s="17"/>
    </row>
    <row r="510" spans="1:8" s="3" customFormat="1" ht="12">
      <c r="A510" s="41">
        <f t="shared" si="7"/>
        <v>2</v>
      </c>
      <c r="B510" s="41" t="s">
        <v>1386</v>
      </c>
      <c r="C510" s="1" t="s">
        <v>1236</v>
      </c>
      <c r="D510" s="2" t="s">
        <v>121</v>
      </c>
      <c r="E510" s="26" t="s">
        <v>1213</v>
      </c>
      <c r="F510" s="19">
        <v>0</v>
      </c>
      <c r="G510" s="19"/>
      <c r="H510" s="17">
        <f>ROUND((P_2_40.a Qté)*(P_2_40.a PU),2)</f>
        <v>0</v>
      </c>
    </row>
    <row r="511" spans="1:8" s="3" customFormat="1" ht="12">
      <c r="A511" s="41">
        <f t="shared" si="7"/>
        <v>2</v>
      </c>
      <c r="B511" s="41" t="s">
        <v>1386</v>
      </c>
      <c r="C511" s="1" t="s">
        <v>1235</v>
      </c>
      <c r="D511" s="2" t="s">
        <v>122</v>
      </c>
      <c r="E511" s="26" t="s">
        <v>1213</v>
      </c>
      <c r="F511" s="19">
        <v>0</v>
      </c>
      <c r="G511" s="19"/>
      <c r="H511" s="17">
        <f>ROUND((P_2_40.b Qté)*(P_2_40.b PU),2)</f>
        <v>0</v>
      </c>
    </row>
    <row r="512" spans="1:8" s="3" customFormat="1" ht="12">
      <c r="A512" s="41">
        <f t="shared" si="7"/>
        <v>2</v>
      </c>
      <c r="B512" s="41" t="s">
        <v>1386</v>
      </c>
      <c r="C512" s="1" t="s">
        <v>1234</v>
      </c>
      <c r="D512" s="2" t="s">
        <v>123</v>
      </c>
      <c r="E512" s="26" t="s">
        <v>1213</v>
      </c>
      <c r="F512" s="19">
        <v>0</v>
      </c>
      <c r="G512" s="19"/>
      <c r="H512" s="17">
        <f>ROUND((P_2_40.c Qté)*(P_2_40.c PU),2)</f>
        <v>0</v>
      </c>
    </row>
    <row r="513" spans="1:8" s="3" customFormat="1" ht="36">
      <c r="A513" s="41">
        <f t="shared" si="7"/>
        <v>2</v>
      </c>
      <c r="B513" s="41" t="s">
        <v>1386</v>
      </c>
      <c r="C513" s="1" t="s">
        <v>946</v>
      </c>
      <c r="D513" s="2" t="s">
        <v>775</v>
      </c>
      <c r="E513" s="26" t="s">
        <v>1213</v>
      </c>
      <c r="F513" s="19">
        <v>0</v>
      </c>
      <c r="G513" s="19"/>
      <c r="H513" s="17">
        <f>ROUND((P_2_41 Qté)*(P_2_41 PU),2)</f>
        <v>0</v>
      </c>
    </row>
    <row r="514" spans="1:8" s="40" customFormat="1" ht="36">
      <c r="A514" s="39">
        <f t="shared" si="7"/>
        <v>2</v>
      </c>
      <c r="B514" s="39" t="s">
        <v>1385</v>
      </c>
      <c r="C514" s="7" t="s">
        <v>947</v>
      </c>
      <c r="D514" s="8" t="s">
        <v>776</v>
      </c>
      <c r="E514" s="44"/>
      <c r="F514" s="18"/>
      <c r="G514" s="18"/>
      <c r="H514" s="17"/>
    </row>
    <row r="515" spans="1:8" s="3" customFormat="1" ht="12">
      <c r="A515" s="41">
        <f t="shared" si="7"/>
        <v>2</v>
      </c>
      <c r="B515" s="41" t="s">
        <v>1386</v>
      </c>
      <c r="C515" s="1" t="s">
        <v>1233</v>
      </c>
      <c r="D515" s="2" t="s">
        <v>124</v>
      </c>
      <c r="E515" s="26" t="s">
        <v>1213</v>
      </c>
      <c r="F515" s="19">
        <v>0</v>
      </c>
      <c r="G515" s="19"/>
      <c r="H515" s="17">
        <f>ROUND((P_2_42.a Qté)*(P_2_42.a PU),2)</f>
        <v>0</v>
      </c>
    </row>
    <row r="516" spans="1:8" s="3" customFormat="1" ht="12">
      <c r="A516" s="41">
        <f t="shared" si="7"/>
        <v>2</v>
      </c>
      <c r="B516" s="41" t="s">
        <v>1386</v>
      </c>
      <c r="C516" s="1" t="s">
        <v>1232</v>
      </c>
      <c r="D516" s="2" t="s">
        <v>125</v>
      </c>
      <c r="E516" s="26" t="s">
        <v>1213</v>
      </c>
      <c r="F516" s="19">
        <v>0</v>
      </c>
      <c r="G516" s="19"/>
      <c r="H516" s="17">
        <f>ROUND((P_2_42.b Qté)*(P_2_42.b PU),2)</f>
        <v>0</v>
      </c>
    </row>
    <row r="517" spans="1:8" s="40" customFormat="1" ht="24">
      <c r="A517" s="39">
        <f aca="true" t="shared" si="8" ref="A517:A580">A516</f>
        <v>2</v>
      </c>
      <c r="B517" s="39" t="s">
        <v>1385</v>
      </c>
      <c r="C517" s="7" t="s">
        <v>948</v>
      </c>
      <c r="D517" s="8" t="s">
        <v>777</v>
      </c>
      <c r="E517" s="25" t="s">
        <v>1127</v>
      </c>
      <c r="F517" s="18"/>
      <c r="G517" s="18"/>
      <c r="H517" s="17"/>
    </row>
    <row r="518" spans="1:8" s="40" customFormat="1" ht="24">
      <c r="A518" s="39">
        <f t="shared" si="8"/>
        <v>2</v>
      </c>
      <c r="B518" s="39" t="s">
        <v>1385</v>
      </c>
      <c r="C518" s="7" t="s">
        <v>1127</v>
      </c>
      <c r="D518" s="8" t="s">
        <v>778</v>
      </c>
      <c r="E518" s="25" t="s">
        <v>1127</v>
      </c>
      <c r="F518" s="18"/>
      <c r="G518" s="18"/>
      <c r="H518" s="17"/>
    </row>
    <row r="519" spans="1:8" s="40" customFormat="1" ht="12">
      <c r="A519" s="39">
        <f t="shared" si="8"/>
        <v>2</v>
      </c>
      <c r="B519" s="39" t="s">
        <v>1385</v>
      </c>
      <c r="C519" s="7" t="s">
        <v>1127</v>
      </c>
      <c r="D519" s="8" t="s">
        <v>103</v>
      </c>
      <c r="E519" s="25" t="s">
        <v>1127</v>
      </c>
      <c r="F519" s="18"/>
      <c r="G519" s="18"/>
      <c r="H519" s="17"/>
    </row>
    <row r="520" spans="1:8" s="40" customFormat="1" ht="24">
      <c r="A520" s="39">
        <f t="shared" si="8"/>
        <v>2</v>
      </c>
      <c r="B520" s="39" t="s">
        <v>1385</v>
      </c>
      <c r="C520" s="7" t="s">
        <v>1127</v>
      </c>
      <c r="D520" s="8" t="s">
        <v>126</v>
      </c>
      <c r="E520" s="25" t="s">
        <v>1127</v>
      </c>
      <c r="F520" s="18"/>
      <c r="G520" s="18"/>
      <c r="H520" s="17"/>
    </row>
    <row r="521" spans="1:8" s="40" customFormat="1" ht="12">
      <c r="A521" s="39">
        <f t="shared" si="8"/>
        <v>2</v>
      </c>
      <c r="B521" s="39" t="s">
        <v>1385</v>
      </c>
      <c r="C521" s="7" t="s">
        <v>1127</v>
      </c>
      <c r="D521" s="8" t="s">
        <v>127</v>
      </c>
      <c r="E521" s="25" t="s">
        <v>1127</v>
      </c>
      <c r="F521" s="18"/>
      <c r="G521" s="18"/>
      <c r="H521" s="17"/>
    </row>
    <row r="522" spans="1:8" s="40" customFormat="1" ht="12">
      <c r="A522" s="39">
        <f t="shared" si="8"/>
        <v>2</v>
      </c>
      <c r="B522" s="39" t="s">
        <v>1385</v>
      </c>
      <c r="C522" s="7" t="s">
        <v>1127</v>
      </c>
      <c r="D522" s="8" t="s">
        <v>128</v>
      </c>
      <c r="E522" s="25" t="s">
        <v>1127</v>
      </c>
      <c r="F522" s="18"/>
      <c r="G522" s="18"/>
      <c r="H522" s="17"/>
    </row>
    <row r="523" spans="1:8" s="40" customFormat="1" ht="12">
      <c r="A523" s="39">
        <f t="shared" si="8"/>
        <v>2</v>
      </c>
      <c r="B523" s="39" t="s">
        <v>1385</v>
      </c>
      <c r="C523" s="7" t="s">
        <v>1127</v>
      </c>
      <c r="D523" s="8" t="s">
        <v>129</v>
      </c>
      <c r="E523" s="25" t="s">
        <v>1127</v>
      </c>
      <c r="F523" s="18"/>
      <c r="G523" s="18"/>
      <c r="H523" s="17"/>
    </row>
    <row r="524" spans="1:8" s="40" customFormat="1" ht="24">
      <c r="A524" s="39">
        <f t="shared" si="8"/>
        <v>2</v>
      </c>
      <c r="B524" s="39" t="s">
        <v>1385</v>
      </c>
      <c r="C524" s="7" t="s">
        <v>1127</v>
      </c>
      <c r="D524" s="8" t="s">
        <v>115</v>
      </c>
      <c r="E524" s="25" t="s">
        <v>1127</v>
      </c>
      <c r="F524" s="18"/>
      <c r="G524" s="18"/>
      <c r="H524" s="17"/>
    </row>
    <row r="525" spans="1:8" s="40" customFormat="1" ht="24">
      <c r="A525" s="39">
        <f t="shared" si="8"/>
        <v>2</v>
      </c>
      <c r="B525" s="39" t="s">
        <v>1385</v>
      </c>
      <c r="C525" s="7" t="s">
        <v>1127</v>
      </c>
      <c r="D525" s="8" t="s">
        <v>130</v>
      </c>
      <c r="E525" s="25" t="s">
        <v>1127</v>
      </c>
      <c r="F525" s="18"/>
      <c r="G525" s="18"/>
      <c r="H525" s="17"/>
    </row>
    <row r="526" spans="1:8" s="40" customFormat="1" ht="48">
      <c r="A526" s="39">
        <f t="shared" si="8"/>
        <v>2</v>
      </c>
      <c r="B526" s="39" t="s">
        <v>1385</v>
      </c>
      <c r="C526" s="7" t="s">
        <v>1127</v>
      </c>
      <c r="D526" s="8" t="s">
        <v>131</v>
      </c>
      <c r="E526" s="25" t="s">
        <v>1127</v>
      </c>
      <c r="F526" s="18"/>
      <c r="G526" s="18"/>
      <c r="H526" s="17"/>
    </row>
    <row r="527" spans="1:8" s="40" customFormat="1" ht="12">
      <c r="A527" s="39">
        <f t="shared" si="8"/>
        <v>2</v>
      </c>
      <c r="B527" s="39" t="s">
        <v>1385</v>
      </c>
      <c r="C527" s="7" t="s">
        <v>1127</v>
      </c>
      <c r="D527" s="8" t="s">
        <v>95</v>
      </c>
      <c r="E527" s="25" t="s">
        <v>1127</v>
      </c>
      <c r="F527" s="18"/>
      <c r="G527" s="18"/>
      <c r="H527" s="17"/>
    </row>
    <row r="528" spans="1:8" s="40" customFormat="1" ht="24">
      <c r="A528" s="39">
        <f t="shared" si="8"/>
        <v>2</v>
      </c>
      <c r="B528" s="39" t="s">
        <v>1385</v>
      </c>
      <c r="C528" s="7" t="s">
        <v>1127</v>
      </c>
      <c r="D528" s="8" t="s">
        <v>779</v>
      </c>
      <c r="E528" s="25" t="s">
        <v>1127</v>
      </c>
      <c r="F528" s="18"/>
      <c r="G528" s="18"/>
      <c r="H528" s="17"/>
    </row>
    <row r="529" spans="1:8" s="3" customFormat="1" ht="24">
      <c r="A529" s="41">
        <f t="shared" si="8"/>
        <v>2</v>
      </c>
      <c r="B529" s="41" t="s">
        <v>1386</v>
      </c>
      <c r="C529" s="1" t="s">
        <v>1650</v>
      </c>
      <c r="D529" s="2" t="s">
        <v>132</v>
      </c>
      <c r="E529" s="26" t="s">
        <v>1213</v>
      </c>
      <c r="F529" s="19">
        <v>0</v>
      </c>
      <c r="G529" s="19"/>
      <c r="H529" s="17">
        <f>ROUND((P_2_43.a Qté)*(P_2_43.a PU),2)</f>
        <v>0</v>
      </c>
    </row>
    <row r="530" spans="1:8" s="3" customFormat="1" ht="24">
      <c r="A530" s="41">
        <f t="shared" si="8"/>
        <v>2</v>
      </c>
      <c r="B530" s="41" t="s">
        <v>1386</v>
      </c>
      <c r="C530" s="1" t="s">
        <v>1231</v>
      </c>
      <c r="D530" s="2" t="s">
        <v>133</v>
      </c>
      <c r="E530" s="26" t="s">
        <v>1213</v>
      </c>
      <c r="F530" s="19">
        <v>0</v>
      </c>
      <c r="G530" s="19"/>
      <c r="H530" s="17">
        <f>ROUND((P_2_43.b Qté)*(P_2_43.b PU),2)</f>
        <v>0</v>
      </c>
    </row>
    <row r="531" spans="1:8" s="3" customFormat="1" ht="12">
      <c r="A531" s="41">
        <f t="shared" si="8"/>
        <v>2</v>
      </c>
      <c r="B531" s="41" t="s">
        <v>1386</v>
      </c>
      <c r="C531" s="1" t="s">
        <v>1230</v>
      </c>
      <c r="D531" s="2" t="s">
        <v>134</v>
      </c>
      <c r="E531" s="26" t="s">
        <v>1213</v>
      </c>
      <c r="F531" s="19">
        <v>0</v>
      </c>
      <c r="G531" s="19"/>
      <c r="H531" s="17">
        <f>ROUND((P_2_43.c Qté)*(P_2_43.c PU),2)</f>
        <v>0</v>
      </c>
    </row>
    <row r="532" spans="1:8" s="40" customFormat="1" ht="12">
      <c r="A532" s="39">
        <f t="shared" si="8"/>
        <v>2</v>
      </c>
      <c r="B532" s="39" t="s">
        <v>1385</v>
      </c>
      <c r="C532" s="7" t="s">
        <v>1127</v>
      </c>
      <c r="D532" s="8" t="s">
        <v>780</v>
      </c>
      <c r="E532" s="25" t="s">
        <v>1127</v>
      </c>
      <c r="F532" s="18"/>
      <c r="G532" s="18"/>
      <c r="H532" s="17"/>
    </row>
    <row r="533" spans="1:8" s="3" customFormat="1" ht="12">
      <c r="A533" s="41">
        <f t="shared" si="8"/>
        <v>2</v>
      </c>
      <c r="B533" s="41" t="s">
        <v>1386</v>
      </c>
      <c r="C533" s="1" t="s">
        <v>1651</v>
      </c>
      <c r="D533" s="2" t="s">
        <v>135</v>
      </c>
      <c r="E533" s="26" t="s">
        <v>1206</v>
      </c>
      <c r="F533" s="19">
        <v>0</v>
      </c>
      <c r="G533" s="19"/>
      <c r="H533" s="17">
        <f>ROUND((P_2_43.d Qté)*(P_2_43.d PU),2)</f>
        <v>0</v>
      </c>
    </row>
    <row r="534" spans="1:8" s="3" customFormat="1" ht="12">
      <c r="A534" s="41">
        <f t="shared" si="8"/>
        <v>2</v>
      </c>
      <c r="B534" s="41" t="s">
        <v>1386</v>
      </c>
      <c r="C534" s="1" t="s">
        <v>1652</v>
      </c>
      <c r="D534" s="2" t="s">
        <v>136</v>
      </c>
      <c r="E534" s="26" t="s">
        <v>1206</v>
      </c>
      <c r="F534" s="19">
        <v>0</v>
      </c>
      <c r="G534" s="19"/>
      <c r="H534" s="17">
        <f>ROUND((P_2_43.e Qté)*(P_2_43.e PU),2)</f>
        <v>0</v>
      </c>
    </row>
    <row r="535" spans="1:8" s="3" customFormat="1" ht="24">
      <c r="A535" s="41">
        <f t="shared" si="8"/>
        <v>2</v>
      </c>
      <c r="B535" s="41" t="s">
        <v>1386</v>
      </c>
      <c r="C535" s="1" t="s">
        <v>1653</v>
      </c>
      <c r="D535" s="2" t="s">
        <v>781</v>
      </c>
      <c r="E535" s="26" t="s">
        <v>1213</v>
      </c>
      <c r="F535" s="19">
        <v>0</v>
      </c>
      <c r="G535" s="19"/>
      <c r="H535" s="17">
        <f>ROUND((P_2_43.e.1 Qté)*(P_2_43.e.1 PU),2)</f>
        <v>0</v>
      </c>
    </row>
    <row r="536" spans="1:8" s="40" customFormat="1" ht="12">
      <c r="A536" s="39">
        <f t="shared" si="8"/>
        <v>2</v>
      </c>
      <c r="B536" s="39" t="s">
        <v>1385</v>
      </c>
      <c r="C536" s="7" t="s">
        <v>1127</v>
      </c>
      <c r="D536" s="8" t="s">
        <v>782</v>
      </c>
      <c r="E536" s="25" t="s">
        <v>1127</v>
      </c>
      <c r="F536" s="18"/>
      <c r="G536" s="18"/>
      <c r="H536" s="17"/>
    </row>
    <row r="537" spans="1:8" s="40" customFormat="1" ht="12">
      <c r="A537" s="39">
        <f t="shared" si="8"/>
        <v>2</v>
      </c>
      <c r="B537" s="39" t="s">
        <v>1385</v>
      </c>
      <c r="C537" s="7" t="s">
        <v>1127</v>
      </c>
      <c r="D537" s="8" t="s">
        <v>137</v>
      </c>
      <c r="E537" s="25" t="s">
        <v>1127</v>
      </c>
      <c r="F537" s="18"/>
      <c r="G537" s="18"/>
      <c r="H537" s="17"/>
    </row>
    <row r="538" spans="1:8" s="40" customFormat="1" ht="12">
      <c r="A538" s="39">
        <f t="shared" si="8"/>
        <v>2</v>
      </c>
      <c r="B538" s="39" t="s">
        <v>1385</v>
      </c>
      <c r="C538" s="7" t="s">
        <v>1127</v>
      </c>
      <c r="D538" s="8" t="s">
        <v>138</v>
      </c>
      <c r="E538" s="25" t="s">
        <v>1127</v>
      </c>
      <c r="F538" s="18"/>
      <c r="G538" s="18"/>
      <c r="H538" s="17"/>
    </row>
    <row r="539" spans="1:8" s="40" customFormat="1" ht="24">
      <c r="A539" s="39">
        <f t="shared" si="8"/>
        <v>2</v>
      </c>
      <c r="B539" s="39" t="s">
        <v>1385</v>
      </c>
      <c r="C539" s="7" t="s">
        <v>1127</v>
      </c>
      <c r="D539" s="8" t="s">
        <v>139</v>
      </c>
      <c r="E539" s="25" t="s">
        <v>1127</v>
      </c>
      <c r="F539" s="18"/>
      <c r="G539" s="18"/>
      <c r="H539" s="17"/>
    </row>
    <row r="540" spans="1:8" s="40" customFormat="1" ht="12">
      <c r="A540" s="39">
        <f t="shared" si="8"/>
        <v>2</v>
      </c>
      <c r="B540" s="39" t="s">
        <v>1385</v>
      </c>
      <c r="C540" s="7" t="s">
        <v>1127</v>
      </c>
      <c r="D540" s="8" t="s">
        <v>140</v>
      </c>
      <c r="E540" s="25" t="s">
        <v>1127</v>
      </c>
      <c r="F540" s="18"/>
      <c r="G540" s="18"/>
      <c r="H540" s="17"/>
    </row>
    <row r="541" spans="1:8" s="40" customFormat="1" ht="24">
      <c r="A541" s="39">
        <f t="shared" si="8"/>
        <v>2</v>
      </c>
      <c r="B541" s="39" t="s">
        <v>1385</v>
      </c>
      <c r="C541" s="7" t="s">
        <v>949</v>
      </c>
      <c r="D541" s="8" t="s">
        <v>783</v>
      </c>
      <c r="E541" s="25" t="s">
        <v>1127</v>
      </c>
      <c r="F541" s="18"/>
      <c r="G541" s="18"/>
      <c r="H541" s="17"/>
    </row>
    <row r="542" spans="1:8" s="40" customFormat="1" ht="24">
      <c r="A542" s="39">
        <f t="shared" si="8"/>
        <v>2</v>
      </c>
      <c r="B542" s="39" t="s">
        <v>1385</v>
      </c>
      <c r="C542" s="7" t="s">
        <v>1127</v>
      </c>
      <c r="D542" s="8" t="s">
        <v>784</v>
      </c>
      <c r="E542" s="25" t="s">
        <v>1127</v>
      </c>
      <c r="F542" s="18"/>
      <c r="G542" s="18"/>
      <c r="H542" s="17"/>
    </row>
    <row r="543" spans="1:8" s="40" customFormat="1" ht="12">
      <c r="A543" s="39">
        <f t="shared" si="8"/>
        <v>2</v>
      </c>
      <c r="B543" s="39" t="s">
        <v>1385</v>
      </c>
      <c r="C543" s="7" t="s">
        <v>1127</v>
      </c>
      <c r="D543" s="8" t="s">
        <v>141</v>
      </c>
      <c r="E543" s="25" t="s">
        <v>1127</v>
      </c>
      <c r="F543" s="18"/>
      <c r="G543" s="18"/>
      <c r="H543" s="17"/>
    </row>
    <row r="544" spans="1:8" s="40" customFormat="1" ht="24">
      <c r="A544" s="39">
        <f t="shared" si="8"/>
        <v>2</v>
      </c>
      <c r="B544" s="39" t="s">
        <v>1385</v>
      </c>
      <c r="C544" s="7" t="s">
        <v>1127</v>
      </c>
      <c r="D544" s="8" t="s">
        <v>126</v>
      </c>
      <c r="E544" s="25" t="s">
        <v>1127</v>
      </c>
      <c r="F544" s="18"/>
      <c r="G544" s="18"/>
      <c r="H544" s="17"/>
    </row>
    <row r="545" spans="1:8" s="40" customFormat="1" ht="12">
      <c r="A545" s="39">
        <f t="shared" si="8"/>
        <v>2</v>
      </c>
      <c r="B545" s="39" t="s">
        <v>1385</v>
      </c>
      <c r="C545" s="7" t="s">
        <v>1127</v>
      </c>
      <c r="D545" s="8" t="s">
        <v>142</v>
      </c>
      <c r="E545" s="25" t="s">
        <v>1127</v>
      </c>
      <c r="F545" s="18"/>
      <c r="G545" s="18"/>
      <c r="H545" s="17"/>
    </row>
    <row r="546" spans="1:8" s="40" customFormat="1" ht="12">
      <c r="A546" s="39">
        <f t="shared" si="8"/>
        <v>2</v>
      </c>
      <c r="B546" s="39" t="s">
        <v>1385</v>
      </c>
      <c r="C546" s="7" t="s">
        <v>1127</v>
      </c>
      <c r="D546" s="8" t="s">
        <v>95</v>
      </c>
      <c r="E546" s="25" t="s">
        <v>1127</v>
      </c>
      <c r="F546" s="18"/>
      <c r="G546" s="18"/>
      <c r="H546" s="17"/>
    </row>
    <row r="547" spans="1:8" s="40" customFormat="1" ht="12">
      <c r="A547" s="39">
        <f t="shared" si="8"/>
        <v>2</v>
      </c>
      <c r="B547" s="39" t="s">
        <v>1385</v>
      </c>
      <c r="C547" s="7" t="s">
        <v>1127</v>
      </c>
      <c r="D547" s="8" t="s">
        <v>785</v>
      </c>
      <c r="E547" s="25" t="s">
        <v>1127</v>
      </c>
      <c r="F547" s="18"/>
      <c r="G547" s="18"/>
      <c r="H547" s="17"/>
    </row>
    <row r="548" spans="1:8" s="3" customFormat="1" ht="12">
      <c r="A548" s="41">
        <f t="shared" si="8"/>
        <v>2</v>
      </c>
      <c r="B548" s="41" t="s">
        <v>1386</v>
      </c>
      <c r="C548" s="1" t="s">
        <v>1654</v>
      </c>
      <c r="D548" s="2" t="s">
        <v>143</v>
      </c>
      <c r="E548" s="26" t="s">
        <v>1186</v>
      </c>
      <c r="F548" s="19">
        <v>0</v>
      </c>
      <c r="G548" s="19"/>
      <c r="H548" s="17">
        <f>ROUND((P_2_44.a Qté)*(P_2_44.a PU),2)</f>
        <v>0</v>
      </c>
    </row>
    <row r="549" spans="1:8" s="40" customFormat="1" ht="12">
      <c r="A549" s="39">
        <f t="shared" si="8"/>
        <v>2</v>
      </c>
      <c r="B549" s="39" t="s">
        <v>1385</v>
      </c>
      <c r="C549" s="7" t="s">
        <v>1127</v>
      </c>
      <c r="D549" s="8" t="s">
        <v>786</v>
      </c>
      <c r="E549" s="25" t="s">
        <v>1127</v>
      </c>
      <c r="F549" s="18"/>
      <c r="G549" s="18"/>
      <c r="H549" s="17"/>
    </row>
    <row r="550" spans="1:8" s="3" customFormat="1" ht="12">
      <c r="A550" s="41">
        <f t="shared" si="8"/>
        <v>2</v>
      </c>
      <c r="B550" s="41" t="s">
        <v>1386</v>
      </c>
      <c r="C550" s="1" t="s">
        <v>1655</v>
      </c>
      <c r="D550" s="2" t="s">
        <v>144</v>
      </c>
      <c r="E550" s="26" t="s">
        <v>1174</v>
      </c>
      <c r="F550" s="19">
        <v>0</v>
      </c>
      <c r="G550" s="19"/>
      <c r="H550" s="17">
        <f>ROUND((P_2_44.b Qté)*(P_2_44.b PU),2)</f>
        <v>0</v>
      </c>
    </row>
    <row r="551" spans="1:8" s="3" customFormat="1" ht="12">
      <c r="A551" s="41">
        <f t="shared" si="8"/>
        <v>2</v>
      </c>
      <c r="B551" s="41" t="s">
        <v>1386</v>
      </c>
      <c r="C551" s="1" t="s">
        <v>1656</v>
      </c>
      <c r="D551" s="2" t="s">
        <v>145</v>
      </c>
      <c r="E551" s="26" t="s">
        <v>1174</v>
      </c>
      <c r="F551" s="19">
        <v>0</v>
      </c>
      <c r="G551" s="19"/>
      <c r="H551" s="17">
        <f>ROUND((P_2_44.c Qté)*(P_2_44.c PU),2)</f>
        <v>0</v>
      </c>
    </row>
    <row r="552" spans="1:8" s="40" customFormat="1" ht="24">
      <c r="A552" s="39">
        <f t="shared" si="8"/>
        <v>2</v>
      </c>
      <c r="B552" s="39" t="s">
        <v>1385</v>
      </c>
      <c r="C552" s="7" t="s">
        <v>950</v>
      </c>
      <c r="D552" s="8" t="s">
        <v>1514</v>
      </c>
      <c r="E552" s="25" t="s">
        <v>1127</v>
      </c>
      <c r="F552" s="18"/>
      <c r="G552" s="18"/>
      <c r="H552" s="17"/>
    </row>
    <row r="553" spans="1:8" s="40" customFormat="1" ht="36">
      <c r="A553" s="39">
        <f t="shared" si="8"/>
        <v>2</v>
      </c>
      <c r="B553" s="39" t="s">
        <v>1385</v>
      </c>
      <c r="C553" s="7" t="s">
        <v>1127</v>
      </c>
      <c r="D553" s="8" t="s">
        <v>1515</v>
      </c>
      <c r="E553" s="25" t="s">
        <v>1127</v>
      </c>
      <c r="F553" s="18"/>
      <c r="G553" s="18"/>
      <c r="H553" s="17"/>
    </row>
    <row r="554" spans="1:8" s="40" customFormat="1" ht="12">
      <c r="A554" s="39">
        <f t="shared" si="8"/>
        <v>2</v>
      </c>
      <c r="B554" s="39" t="s">
        <v>1385</v>
      </c>
      <c r="C554" s="7" t="s">
        <v>1127</v>
      </c>
      <c r="D554" s="8" t="s">
        <v>146</v>
      </c>
      <c r="E554" s="25" t="s">
        <v>1127</v>
      </c>
      <c r="F554" s="18"/>
      <c r="G554" s="18"/>
      <c r="H554" s="17"/>
    </row>
    <row r="555" spans="1:8" s="40" customFormat="1" ht="24">
      <c r="A555" s="39">
        <f t="shared" si="8"/>
        <v>2</v>
      </c>
      <c r="B555" s="39" t="s">
        <v>1385</v>
      </c>
      <c r="C555" s="7" t="s">
        <v>1127</v>
      </c>
      <c r="D555" s="8" t="s">
        <v>147</v>
      </c>
      <c r="E555" s="25" t="s">
        <v>1127</v>
      </c>
      <c r="F555" s="18"/>
      <c r="G555" s="18"/>
      <c r="H555" s="17"/>
    </row>
    <row r="556" spans="1:8" s="40" customFormat="1" ht="24">
      <c r="A556" s="39">
        <f t="shared" si="8"/>
        <v>2</v>
      </c>
      <c r="B556" s="39" t="s">
        <v>1385</v>
      </c>
      <c r="C556" s="7" t="s">
        <v>1127</v>
      </c>
      <c r="D556" s="8" t="s">
        <v>148</v>
      </c>
      <c r="E556" s="25" t="s">
        <v>1127</v>
      </c>
      <c r="F556" s="18"/>
      <c r="G556" s="18"/>
      <c r="H556" s="17"/>
    </row>
    <row r="557" spans="1:8" s="40" customFormat="1" ht="36">
      <c r="A557" s="39">
        <f t="shared" si="8"/>
        <v>2</v>
      </c>
      <c r="B557" s="39" t="s">
        <v>1385</v>
      </c>
      <c r="C557" s="7" t="s">
        <v>1127</v>
      </c>
      <c r="D557" s="8" t="s">
        <v>149</v>
      </c>
      <c r="E557" s="25" t="s">
        <v>1127</v>
      </c>
      <c r="F557" s="18"/>
      <c r="G557" s="18"/>
      <c r="H557" s="17"/>
    </row>
    <row r="558" spans="1:8" s="40" customFormat="1" ht="36">
      <c r="A558" s="39">
        <f t="shared" si="8"/>
        <v>2</v>
      </c>
      <c r="B558" s="39" t="s">
        <v>1385</v>
      </c>
      <c r="C558" s="7" t="s">
        <v>1127</v>
      </c>
      <c r="D558" s="8" t="s">
        <v>150</v>
      </c>
      <c r="E558" s="25" t="s">
        <v>1127</v>
      </c>
      <c r="F558" s="18"/>
      <c r="G558" s="18"/>
      <c r="H558" s="17"/>
    </row>
    <row r="559" spans="1:8" s="40" customFormat="1" ht="24">
      <c r="A559" s="39">
        <f t="shared" si="8"/>
        <v>2</v>
      </c>
      <c r="B559" s="39" t="s">
        <v>1385</v>
      </c>
      <c r="C559" s="7" t="s">
        <v>1127</v>
      </c>
      <c r="D559" s="8" t="s">
        <v>151</v>
      </c>
      <c r="E559" s="25" t="s">
        <v>1127</v>
      </c>
      <c r="F559" s="18"/>
      <c r="G559" s="18"/>
      <c r="H559" s="17"/>
    </row>
    <row r="560" spans="1:8" s="40" customFormat="1" ht="12">
      <c r="A560" s="39">
        <f t="shared" si="8"/>
        <v>2</v>
      </c>
      <c r="B560" s="39" t="s">
        <v>1385</v>
      </c>
      <c r="C560" s="7" t="s">
        <v>1127</v>
      </c>
      <c r="D560" s="8" t="s">
        <v>142</v>
      </c>
      <c r="E560" s="25" t="s">
        <v>1127</v>
      </c>
      <c r="F560" s="18"/>
      <c r="G560" s="18"/>
      <c r="H560" s="17"/>
    </row>
    <row r="561" spans="1:8" s="40" customFormat="1" ht="12">
      <c r="A561" s="39">
        <f t="shared" si="8"/>
        <v>2</v>
      </c>
      <c r="B561" s="39" t="s">
        <v>1385</v>
      </c>
      <c r="C561" s="7" t="s">
        <v>1127</v>
      </c>
      <c r="D561" s="8" t="s">
        <v>95</v>
      </c>
      <c r="E561" s="25" t="s">
        <v>1127</v>
      </c>
      <c r="F561" s="18"/>
      <c r="G561" s="18"/>
      <c r="H561" s="17"/>
    </row>
    <row r="562" spans="1:8" s="3" customFormat="1" ht="12">
      <c r="A562" s="41">
        <f t="shared" si="8"/>
        <v>2</v>
      </c>
      <c r="B562" s="41" t="s">
        <v>1386</v>
      </c>
      <c r="C562" s="1" t="s">
        <v>1657</v>
      </c>
      <c r="D562" s="2" t="s">
        <v>152</v>
      </c>
      <c r="E562" s="26" t="s">
        <v>1227</v>
      </c>
      <c r="F562" s="19">
        <v>0</v>
      </c>
      <c r="G562" s="19"/>
      <c r="H562" s="17">
        <f>ROUND((P_2_45.a Qté)*(P_2_45.a PU),2)</f>
        <v>0</v>
      </c>
    </row>
    <row r="563" spans="1:8" s="3" customFormat="1" ht="12">
      <c r="A563" s="41">
        <f t="shared" si="8"/>
        <v>2</v>
      </c>
      <c r="B563" s="41" t="s">
        <v>1386</v>
      </c>
      <c r="C563" s="1" t="s">
        <v>1658</v>
      </c>
      <c r="D563" s="2" t="s">
        <v>153</v>
      </c>
      <c r="E563" s="26" t="s">
        <v>1227</v>
      </c>
      <c r="F563" s="19">
        <v>0</v>
      </c>
      <c r="G563" s="19"/>
      <c r="H563" s="17">
        <f>ROUND((P_2_45.b Qté)*(P_2_45.b PU),2)</f>
        <v>0</v>
      </c>
    </row>
    <row r="564" spans="1:8" s="40" customFormat="1" ht="24">
      <c r="A564" s="39">
        <f t="shared" si="8"/>
        <v>2</v>
      </c>
      <c r="B564" s="39" t="s">
        <v>1385</v>
      </c>
      <c r="C564" s="7" t="s">
        <v>951</v>
      </c>
      <c r="D564" s="8" t="s">
        <v>891</v>
      </c>
      <c r="E564" s="25" t="s">
        <v>1127</v>
      </c>
      <c r="F564" s="18"/>
      <c r="G564" s="18"/>
      <c r="H564" s="17"/>
    </row>
    <row r="565" spans="1:8" s="40" customFormat="1" ht="36">
      <c r="A565" s="39">
        <f t="shared" si="8"/>
        <v>2</v>
      </c>
      <c r="B565" s="39" t="s">
        <v>1385</v>
      </c>
      <c r="C565" s="7" t="s">
        <v>1127</v>
      </c>
      <c r="D565" s="8" t="s">
        <v>892</v>
      </c>
      <c r="E565" s="25" t="s">
        <v>1127</v>
      </c>
      <c r="F565" s="18"/>
      <c r="G565" s="18"/>
      <c r="H565" s="17"/>
    </row>
    <row r="566" spans="1:8" s="40" customFormat="1" ht="12">
      <c r="A566" s="39">
        <f t="shared" si="8"/>
        <v>2</v>
      </c>
      <c r="B566" s="39" t="s">
        <v>1385</v>
      </c>
      <c r="C566" s="7" t="s">
        <v>1127</v>
      </c>
      <c r="D566" s="8" t="s">
        <v>103</v>
      </c>
      <c r="E566" s="25" t="s">
        <v>1127</v>
      </c>
      <c r="F566" s="18"/>
      <c r="G566" s="18"/>
      <c r="H566" s="17"/>
    </row>
    <row r="567" spans="1:8" s="40" customFormat="1" ht="12">
      <c r="A567" s="39">
        <f t="shared" si="8"/>
        <v>2</v>
      </c>
      <c r="B567" s="39" t="s">
        <v>1385</v>
      </c>
      <c r="C567" s="7" t="s">
        <v>1127</v>
      </c>
      <c r="D567" s="8" t="s">
        <v>154</v>
      </c>
      <c r="E567" s="25" t="s">
        <v>1127</v>
      </c>
      <c r="F567" s="18"/>
      <c r="G567" s="18"/>
      <c r="H567" s="17"/>
    </row>
    <row r="568" spans="1:8" s="40" customFormat="1" ht="24">
      <c r="A568" s="39">
        <f t="shared" si="8"/>
        <v>2</v>
      </c>
      <c r="B568" s="39" t="s">
        <v>1385</v>
      </c>
      <c r="C568" s="7" t="s">
        <v>1127</v>
      </c>
      <c r="D568" s="8" t="s">
        <v>148</v>
      </c>
      <c r="E568" s="25" t="s">
        <v>1127</v>
      </c>
      <c r="F568" s="18"/>
      <c r="G568" s="18"/>
      <c r="H568" s="17"/>
    </row>
    <row r="569" spans="1:8" s="40" customFormat="1" ht="36">
      <c r="A569" s="39">
        <f t="shared" si="8"/>
        <v>2</v>
      </c>
      <c r="B569" s="39" t="s">
        <v>1385</v>
      </c>
      <c r="C569" s="7" t="s">
        <v>1127</v>
      </c>
      <c r="D569" s="8" t="s">
        <v>149</v>
      </c>
      <c r="E569" s="25" t="s">
        <v>1127</v>
      </c>
      <c r="F569" s="18"/>
      <c r="G569" s="18"/>
      <c r="H569" s="17"/>
    </row>
    <row r="570" spans="1:8" s="40" customFormat="1" ht="36">
      <c r="A570" s="39">
        <f t="shared" si="8"/>
        <v>2</v>
      </c>
      <c r="B570" s="39" t="s">
        <v>1385</v>
      </c>
      <c r="C570" s="7" t="s">
        <v>1127</v>
      </c>
      <c r="D570" s="8" t="s">
        <v>155</v>
      </c>
      <c r="E570" s="25" t="s">
        <v>1127</v>
      </c>
      <c r="F570" s="18"/>
      <c r="G570" s="18"/>
      <c r="H570" s="17"/>
    </row>
    <row r="571" spans="1:8" s="40" customFormat="1" ht="12">
      <c r="A571" s="39">
        <f t="shared" si="8"/>
        <v>2</v>
      </c>
      <c r="B571" s="39" t="s">
        <v>1385</v>
      </c>
      <c r="C571" s="7" t="s">
        <v>1127</v>
      </c>
      <c r="D571" s="8" t="s">
        <v>142</v>
      </c>
      <c r="E571" s="25" t="s">
        <v>1127</v>
      </c>
      <c r="F571" s="18"/>
      <c r="G571" s="18"/>
      <c r="H571" s="17"/>
    </row>
    <row r="572" spans="1:8" s="40" customFormat="1" ht="12">
      <c r="A572" s="39">
        <f t="shared" si="8"/>
        <v>2</v>
      </c>
      <c r="B572" s="39" t="s">
        <v>1385</v>
      </c>
      <c r="C572" s="7" t="s">
        <v>1127</v>
      </c>
      <c r="D572" s="8" t="s">
        <v>95</v>
      </c>
      <c r="E572" s="25" t="s">
        <v>1127</v>
      </c>
      <c r="F572" s="18"/>
      <c r="G572" s="18"/>
      <c r="H572" s="17"/>
    </row>
    <row r="573" spans="1:8" s="3" customFormat="1" ht="12">
      <c r="A573" s="41">
        <f t="shared" si="8"/>
        <v>2</v>
      </c>
      <c r="B573" s="41" t="s">
        <v>1386</v>
      </c>
      <c r="C573" s="1" t="s">
        <v>1659</v>
      </c>
      <c r="D573" s="2" t="s">
        <v>152</v>
      </c>
      <c r="E573" s="26" t="s">
        <v>1206</v>
      </c>
      <c r="F573" s="19">
        <v>0</v>
      </c>
      <c r="G573" s="19"/>
      <c r="H573" s="17">
        <f>ROUND((P_2_46.a Qté)*(P_2_46.a PU),2)</f>
        <v>0</v>
      </c>
    </row>
    <row r="574" spans="1:8" s="3" customFormat="1" ht="12">
      <c r="A574" s="41">
        <f t="shared" si="8"/>
        <v>2</v>
      </c>
      <c r="B574" s="41" t="s">
        <v>1386</v>
      </c>
      <c r="C574" s="1" t="s">
        <v>1660</v>
      </c>
      <c r="D574" s="2" t="s">
        <v>153</v>
      </c>
      <c r="E574" s="26" t="s">
        <v>1206</v>
      </c>
      <c r="F574" s="19">
        <v>0</v>
      </c>
      <c r="G574" s="19"/>
      <c r="H574" s="17">
        <f>ROUND((P_2_46.b Qté)*(P_2_46.b PU),2)</f>
        <v>0</v>
      </c>
    </row>
    <row r="575" spans="1:8" s="40" customFormat="1" ht="24">
      <c r="A575" s="39">
        <f t="shared" si="8"/>
        <v>2</v>
      </c>
      <c r="B575" s="39" t="s">
        <v>1385</v>
      </c>
      <c r="C575" s="7" t="s">
        <v>952</v>
      </c>
      <c r="D575" s="8" t="s">
        <v>893</v>
      </c>
      <c r="E575" s="25" t="s">
        <v>1127</v>
      </c>
      <c r="F575" s="18"/>
      <c r="G575" s="18"/>
      <c r="H575" s="17"/>
    </row>
    <row r="576" spans="1:8" s="40" customFormat="1" ht="36">
      <c r="A576" s="39">
        <f t="shared" si="8"/>
        <v>2</v>
      </c>
      <c r="B576" s="39" t="s">
        <v>1385</v>
      </c>
      <c r="C576" s="7" t="s">
        <v>1127</v>
      </c>
      <c r="D576" s="8" t="s">
        <v>894</v>
      </c>
      <c r="E576" s="25" t="s">
        <v>1127</v>
      </c>
      <c r="F576" s="18"/>
      <c r="G576" s="18"/>
      <c r="H576" s="17"/>
    </row>
    <row r="577" spans="1:8" s="40" customFormat="1" ht="12">
      <c r="A577" s="39">
        <f t="shared" si="8"/>
        <v>2</v>
      </c>
      <c r="B577" s="39" t="s">
        <v>1385</v>
      </c>
      <c r="C577" s="7" t="s">
        <v>1127</v>
      </c>
      <c r="D577" s="8" t="s">
        <v>103</v>
      </c>
      <c r="E577" s="25" t="s">
        <v>1127</v>
      </c>
      <c r="F577" s="18"/>
      <c r="G577" s="18"/>
      <c r="H577" s="17"/>
    </row>
    <row r="578" spans="1:8" s="40" customFormat="1" ht="12">
      <c r="A578" s="39">
        <f t="shared" si="8"/>
        <v>2</v>
      </c>
      <c r="B578" s="39" t="s">
        <v>1385</v>
      </c>
      <c r="C578" s="7" t="s">
        <v>1127</v>
      </c>
      <c r="D578" s="8" t="s">
        <v>154</v>
      </c>
      <c r="E578" s="25" t="s">
        <v>1127</v>
      </c>
      <c r="F578" s="18"/>
      <c r="G578" s="18"/>
      <c r="H578" s="17"/>
    </row>
    <row r="579" spans="1:8" s="40" customFormat="1" ht="24">
      <c r="A579" s="39">
        <f t="shared" si="8"/>
        <v>2</v>
      </c>
      <c r="B579" s="39" t="s">
        <v>1385</v>
      </c>
      <c r="C579" s="7" t="s">
        <v>1127</v>
      </c>
      <c r="D579" s="8" t="s">
        <v>148</v>
      </c>
      <c r="E579" s="25" t="s">
        <v>1127</v>
      </c>
      <c r="F579" s="18"/>
      <c r="G579" s="18"/>
      <c r="H579" s="17"/>
    </row>
    <row r="580" spans="1:8" s="40" customFormat="1" ht="36">
      <c r="A580" s="39">
        <f t="shared" si="8"/>
        <v>2</v>
      </c>
      <c r="B580" s="39" t="s">
        <v>1385</v>
      </c>
      <c r="C580" s="7" t="s">
        <v>1127</v>
      </c>
      <c r="D580" s="8" t="s">
        <v>149</v>
      </c>
      <c r="E580" s="25" t="s">
        <v>1127</v>
      </c>
      <c r="F580" s="18"/>
      <c r="G580" s="18"/>
      <c r="H580" s="17"/>
    </row>
    <row r="581" spans="1:8" s="40" customFormat="1" ht="12">
      <c r="A581" s="39">
        <f aca="true" t="shared" si="9" ref="A581:A644">A580</f>
        <v>2</v>
      </c>
      <c r="B581" s="39" t="s">
        <v>1385</v>
      </c>
      <c r="C581" s="7" t="s">
        <v>1127</v>
      </c>
      <c r="D581" s="8" t="s">
        <v>142</v>
      </c>
      <c r="E581" s="25" t="s">
        <v>1127</v>
      </c>
      <c r="F581" s="18"/>
      <c r="G581" s="18"/>
      <c r="H581" s="17"/>
    </row>
    <row r="582" spans="1:8" s="40" customFormat="1" ht="12">
      <c r="A582" s="39">
        <f t="shared" si="9"/>
        <v>2</v>
      </c>
      <c r="B582" s="39" t="s">
        <v>1385</v>
      </c>
      <c r="C582" s="7" t="s">
        <v>1127</v>
      </c>
      <c r="D582" s="8" t="s">
        <v>95</v>
      </c>
      <c r="E582" s="25" t="s">
        <v>1127</v>
      </c>
      <c r="F582" s="18"/>
      <c r="G582" s="18"/>
      <c r="H582" s="17"/>
    </row>
    <row r="583" spans="1:8" s="3" customFormat="1" ht="12">
      <c r="A583" s="41">
        <f t="shared" si="9"/>
        <v>2</v>
      </c>
      <c r="B583" s="41" t="s">
        <v>1386</v>
      </c>
      <c r="C583" s="1" t="s">
        <v>1661</v>
      </c>
      <c r="D583" s="2" t="s">
        <v>156</v>
      </c>
      <c r="E583" s="26" t="s">
        <v>1174</v>
      </c>
      <c r="F583" s="19">
        <v>0</v>
      </c>
      <c r="G583" s="19"/>
      <c r="H583" s="17">
        <f>ROUND((P_2_47.a Qté)*(P_2_47.a PU),2)</f>
        <v>0</v>
      </c>
    </row>
    <row r="584" spans="1:8" s="3" customFormat="1" ht="12">
      <c r="A584" s="41">
        <f t="shared" si="9"/>
        <v>2</v>
      </c>
      <c r="B584" s="41" t="s">
        <v>1386</v>
      </c>
      <c r="C584" s="1" t="s">
        <v>1662</v>
      </c>
      <c r="D584" s="2" t="s">
        <v>157</v>
      </c>
      <c r="E584" s="26" t="s">
        <v>1174</v>
      </c>
      <c r="F584" s="19">
        <v>0</v>
      </c>
      <c r="G584" s="19"/>
      <c r="H584" s="17">
        <f>ROUND((P_2_47.b Qté)*(P_2_47.b PU),2)</f>
        <v>0</v>
      </c>
    </row>
    <row r="585" spans="1:8" s="40" customFormat="1" ht="24">
      <c r="A585" s="39">
        <f t="shared" si="9"/>
        <v>2</v>
      </c>
      <c r="B585" s="39" t="s">
        <v>1385</v>
      </c>
      <c r="C585" s="7" t="s">
        <v>953</v>
      </c>
      <c r="D585" s="8" t="s">
        <v>895</v>
      </c>
      <c r="E585" s="25" t="s">
        <v>1127</v>
      </c>
      <c r="F585" s="18"/>
      <c r="G585" s="18"/>
      <c r="H585" s="17"/>
    </row>
    <row r="586" spans="1:8" s="40" customFormat="1" ht="36">
      <c r="A586" s="39">
        <f t="shared" si="9"/>
        <v>2</v>
      </c>
      <c r="B586" s="39" t="s">
        <v>1385</v>
      </c>
      <c r="C586" s="7" t="s">
        <v>1127</v>
      </c>
      <c r="D586" s="8" t="s">
        <v>896</v>
      </c>
      <c r="E586" s="25" t="s">
        <v>1127</v>
      </c>
      <c r="F586" s="18"/>
      <c r="G586" s="18"/>
      <c r="H586" s="17"/>
    </row>
    <row r="587" spans="1:8" s="40" customFormat="1" ht="36">
      <c r="A587" s="39">
        <f t="shared" si="9"/>
        <v>2</v>
      </c>
      <c r="B587" s="39" t="s">
        <v>1385</v>
      </c>
      <c r="C587" s="7" t="s">
        <v>1127</v>
      </c>
      <c r="D587" s="8" t="s">
        <v>158</v>
      </c>
      <c r="E587" s="25" t="s">
        <v>1127</v>
      </c>
      <c r="F587" s="18"/>
      <c r="G587" s="18"/>
      <c r="H587" s="17"/>
    </row>
    <row r="588" spans="1:8" s="3" customFormat="1" ht="12">
      <c r="A588" s="41">
        <f t="shared" si="9"/>
        <v>2</v>
      </c>
      <c r="B588" s="41" t="s">
        <v>1386</v>
      </c>
      <c r="C588" s="1" t="s">
        <v>1663</v>
      </c>
      <c r="D588" s="2" t="s">
        <v>156</v>
      </c>
      <c r="E588" s="26" t="s">
        <v>1174</v>
      </c>
      <c r="F588" s="19">
        <v>0</v>
      </c>
      <c r="G588" s="19"/>
      <c r="H588" s="17">
        <f>ROUND((P_2_48.a Qté)*(P_2_48.a PU),2)</f>
        <v>0</v>
      </c>
    </row>
    <row r="589" spans="1:8" s="3" customFormat="1" ht="12">
      <c r="A589" s="41">
        <f t="shared" si="9"/>
        <v>2</v>
      </c>
      <c r="B589" s="41" t="s">
        <v>1386</v>
      </c>
      <c r="C589" s="1" t="s">
        <v>1239</v>
      </c>
      <c r="D589" s="2" t="s">
        <v>159</v>
      </c>
      <c r="E589" s="26" t="s">
        <v>1174</v>
      </c>
      <c r="F589" s="19">
        <v>0</v>
      </c>
      <c r="G589" s="19"/>
      <c r="H589" s="17">
        <f>ROUND((P_2_48.b Qté)*(P_2_48.b PU),2)</f>
        <v>0</v>
      </c>
    </row>
    <row r="590" spans="1:8" s="40" customFormat="1" ht="24">
      <c r="A590" s="39">
        <f t="shared" si="9"/>
        <v>2</v>
      </c>
      <c r="B590" s="39" t="s">
        <v>1385</v>
      </c>
      <c r="C590" s="7" t="s">
        <v>954</v>
      </c>
      <c r="D590" s="8" t="s">
        <v>897</v>
      </c>
      <c r="E590" s="25" t="s">
        <v>1127</v>
      </c>
      <c r="F590" s="18"/>
      <c r="G590" s="18"/>
      <c r="H590" s="17"/>
    </row>
    <row r="591" spans="1:8" s="40" customFormat="1" ht="36">
      <c r="A591" s="39">
        <f t="shared" si="9"/>
        <v>2</v>
      </c>
      <c r="B591" s="39" t="s">
        <v>1385</v>
      </c>
      <c r="C591" s="7" t="s">
        <v>1127</v>
      </c>
      <c r="D591" s="8" t="s">
        <v>898</v>
      </c>
      <c r="E591" s="25" t="s">
        <v>1127</v>
      </c>
      <c r="F591" s="18"/>
      <c r="G591" s="18"/>
      <c r="H591" s="17"/>
    </row>
    <row r="592" spans="1:8" s="40" customFormat="1" ht="12">
      <c r="A592" s="39">
        <f t="shared" si="9"/>
        <v>2</v>
      </c>
      <c r="B592" s="39" t="s">
        <v>1385</v>
      </c>
      <c r="C592" s="7" t="s">
        <v>1127</v>
      </c>
      <c r="D592" s="8" t="s">
        <v>98</v>
      </c>
      <c r="E592" s="25" t="s">
        <v>1127</v>
      </c>
      <c r="F592" s="18"/>
      <c r="G592" s="18"/>
      <c r="H592" s="17"/>
    </row>
    <row r="593" spans="1:8" s="40" customFormat="1" ht="12">
      <c r="A593" s="39">
        <f t="shared" si="9"/>
        <v>2</v>
      </c>
      <c r="B593" s="39" t="s">
        <v>1385</v>
      </c>
      <c r="C593" s="7" t="s">
        <v>1127</v>
      </c>
      <c r="D593" s="8" t="s">
        <v>103</v>
      </c>
      <c r="E593" s="25" t="s">
        <v>1127</v>
      </c>
      <c r="F593" s="18"/>
      <c r="G593" s="18"/>
      <c r="H593" s="17"/>
    </row>
    <row r="594" spans="1:8" s="40" customFormat="1" ht="24">
      <c r="A594" s="39">
        <f t="shared" si="9"/>
        <v>2</v>
      </c>
      <c r="B594" s="39" t="s">
        <v>1385</v>
      </c>
      <c r="C594" s="7" t="s">
        <v>1127</v>
      </c>
      <c r="D594" s="8" t="s">
        <v>160</v>
      </c>
      <c r="E594" s="25" t="s">
        <v>1127</v>
      </c>
      <c r="F594" s="18"/>
      <c r="G594" s="18"/>
      <c r="H594" s="17"/>
    </row>
    <row r="595" spans="1:8" s="40" customFormat="1" ht="24">
      <c r="A595" s="39">
        <f t="shared" si="9"/>
        <v>2</v>
      </c>
      <c r="B595" s="39" t="s">
        <v>1385</v>
      </c>
      <c r="C595" s="7" t="s">
        <v>1127</v>
      </c>
      <c r="D595" s="8" t="s">
        <v>161</v>
      </c>
      <c r="E595" s="25" t="s">
        <v>1127</v>
      </c>
      <c r="F595" s="18"/>
      <c r="G595" s="18"/>
      <c r="H595" s="17"/>
    </row>
    <row r="596" spans="1:8" s="40" customFormat="1" ht="12">
      <c r="A596" s="39">
        <f t="shared" si="9"/>
        <v>2</v>
      </c>
      <c r="B596" s="39" t="s">
        <v>1385</v>
      </c>
      <c r="C596" s="7" t="s">
        <v>1127</v>
      </c>
      <c r="D596" s="8" t="s">
        <v>142</v>
      </c>
      <c r="E596" s="25" t="s">
        <v>1127</v>
      </c>
      <c r="F596" s="18"/>
      <c r="G596" s="18"/>
      <c r="H596" s="17"/>
    </row>
    <row r="597" spans="1:8" s="40" customFormat="1" ht="12">
      <c r="A597" s="39">
        <f t="shared" si="9"/>
        <v>2</v>
      </c>
      <c r="B597" s="39" t="s">
        <v>1385</v>
      </c>
      <c r="C597" s="7" t="s">
        <v>1127</v>
      </c>
      <c r="D597" s="8" t="s">
        <v>95</v>
      </c>
      <c r="E597" s="25" t="s">
        <v>1127</v>
      </c>
      <c r="F597" s="18"/>
      <c r="G597" s="18"/>
      <c r="H597" s="17"/>
    </row>
    <row r="598" spans="1:8" s="3" customFormat="1" ht="12">
      <c r="A598" s="41">
        <f t="shared" si="9"/>
        <v>2</v>
      </c>
      <c r="B598" s="41" t="s">
        <v>1386</v>
      </c>
      <c r="C598" s="1" t="s">
        <v>1664</v>
      </c>
      <c r="D598" s="2" t="s">
        <v>162</v>
      </c>
      <c r="E598" s="26" t="s">
        <v>1174</v>
      </c>
      <c r="F598" s="19">
        <v>0</v>
      </c>
      <c r="G598" s="19"/>
      <c r="H598" s="17">
        <f>ROUND((P_2_49.a Qté)*(P_2_49.a PU),2)</f>
        <v>0</v>
      </c>
    </row>
    <row r="599" spans="1:8" s="3" customFormat="1" ht="12">
      <c r="A599" s="41">
        <f t="shared" si="9"/>
        <v>2</v>
      </c>
      <c r="B599" s="41" t="s">
        <v>1386</v>
      </c>
      <c r="C599" s="1" t="s">
        <v>1665</v>
      </c>
      <c r="D599" s="2" t="s">
        <v>163</v>
      </c>
      <c r="E599" s="26" t="s">
        <v>1174</v>
      </c>
      <c r="F599" s="19">
        <v>0</v>
      </c>
      <c r="G599" s="19"/>
      <c r="H599" s="17">
        <f>ROUND((P_2_49.b Qté)*(P_2_49.b PU),2)</f>
        <v>0</v>
      </c>
    </row>
    <row r="600" spans="1:8" s="40" customFormat="1" ht="24">
      <c r="A600" s="39">
        <f t="shared" si="9"/>
        <v>2</v>
      </c>
      <c r="B600" s="39" t="s">
        <v>1385</v>
      </c>
      <c r="C600" s="7" t="s">
        <v>955</v>
      </c>
      <c r="D600" s="8" t="s">
        <v>899</v>
      </c>
      <c r="E600" s="25" t="s">
        <v>1127</v>
      </c>
      <c r="F600" s="18"/>
      <c r="G600" s="18"/>
      <c r="H600" s="17"/>
    </row>
    <row r="601" spans="1:8" s="40" customFormat="1" ht="36">
      <c r="A601" s="39">
        <f t="shared" si="9"/>
        <v>2</v>
      </c>
      <c r="B601" s="39" t="s">
        <v>1385</v>
      </c>
      <c r="C601" s="7" t="s">
        <v>1127</v>
      </c>
      <c r="D601" s="8" t="s">
        <v>699</v>
      </c>
      <c r="E601" s="25" t="s">
        <v>1127</v>
      </c>
      <c r="F601" s="18"/>
      <c r="G601" s="18"/>
      <c r="H601" s="17"/>
    </row>
    <row r="602" spans="1:8" s="40" customFormat="1" ht="36">
      <c r="A602" s="39">
        <f t="shared" si="9"/>
        <v>2</v>
      </c>
      <c r="B602" s="39" t="s">
        <v>1385</v>
      </c>
      <c r="C602" s="7" t="s">
        <v>1127</v>
      </c>
      <c r="D602" s="8" t="s">
        <v>164</v>
      </c>
      <c r="E602" s="25" t="s">
        <v>1127</v>
      </c>
      <c r="F602" s="18"/>
      <c r="G602" s="18"/>
      <c r="H602" s="17"/>
    </row>
    <row r="603" spans="1:8" s="40" customFormat="1" ht="12">
      <c r="A603" s="39">
        <f t="shared" si="9"/>
        <v>2</v>
      </c>
      <c r="B603" s="39" t="s">
        <v>1385</v>
      </c>
      <c r="C603" s="7" t="s">
        <v>1127</v>
      </c>
      <c r="D603" s="8" t="s">
        <v>165</v>
      </c>
      <c r="E603" s="25" t="s">
        <v>1127</v>
      </c>
      <c r="F603" s="18"/>
      <c r="G603" s="18"/>
      <c r="H603" s="17"/>
    </row>
    <row r="604" spans="1:8" s="40" customFormat="1" ht="12">
      <c r="A604" s="39">
        <f t="shared" si="9"/>
        <v>2</v>
      </c>
      <c r="B604" s="39" t="s">
        <v>1385</v>
      </c>
      <c r="C604" s="7" t="s">
        <v>1127</v>
      </c>
      <c r="D604" s="8" t="s">
        <v>166</v>
      </c>
      <c r="E604" s="25" t="s">
        <v>1127</v>
      </c>
      <c r="F604" s="18"/>
      <c r="G604" s="18"/>
      <c r="H604" s="17"/>
    </row>
    <row r="605" spans="1:8" s="40" customFormat="1" ht="12">
      <c r="A605" s="39">
        <f t="shared" si="9"/>
        <v>2</v>
      </c>
      <c r="B605" s="39" t="s">
        <v>1385</v>
      </c>
      <c r="C605" s="7" t="s">
        <v>1127</v>
      </c>
      <c r="D605" s="8" t="s">
        <v>103</v>
      </c>
      <c r="E605" s="25" t="s">
        <v>1127</v>
      </c>
      <c r="F605" s="18"/>
      <c r="G605" s="18"/>
      <c r="H605" s="17"/>
    </row>
    <row r="606" spans="1:8" s="40" customFormat="1" ht="12">
      <c r="A606" s="39">
        <f t="shared" si="9"/>
        <v>2</v>
      </c>
      <c r="B606" s="39" t="s">
        <v>1385</v>
      </c>
      <c r="C606" s="7" t="s">
        <v>1127</v>
      </c>
      <c r="D606" s="8" t="s">
        <v>167</v>
      </c>
      <c r="E606" s="25" t="s">
        <v>1127</v>
      </c>
      <c r="F606" s="18"/>
      <c r="G606" s="18"/>
      <c r="H606" s="17"/>
    </row>
    <row r="607" spans="1:8" s="40" customFormat="1" ht="24">
      <c r="A607" s="39">
        <f t="shared" si="9"/>
        <v>2</v>
      </c>
      <c r="B607" s="39" t="s">
        <v>1385</v>
      </c>
      <c r="C607" s="7" t="s">
        <v>1127</v>
      </c>
      <c r="D607" s="8" t="s">
        <v>168</v>
      </c>
      <c r="E607" s="25" t="s">
        <v>1127</v>
      </c>
      <c r="F607" s="18"/>
      <c r="G607" s="18"/>
      <c r="H607" s="17"/>
    </row>
    <row r="608" spans="1:8" s="40" customFormat="1" ht="24">
      <c r="A608" s="39">
        <f t="shared" si="9"/>
        <v>2</v>
      </c>
      <c r="B608" s="39" t="s">
        <v>1385</v>
      </c>
      <c r="C608" s="7" t="s">
        <v>1127</v>
      </c>
      <c r="D608" s="8" t="s">
        <v>161</v>
      </c>
      <c r="E608" s="25" t="s">
        <v>1127</v>
      </c>
      <c r="F608" s="18"/>
      <c r="G608" s="18"/>
      <c r="H608" s="17"/>
    </row>
    <row r="609" spans="1:8" s="40" customFormat="1" ht="12">
      <c r="A609" s="39">
        <f t="shared" si="9"/>
        <v>2</v>
      </c>
      <c r="B609" s="39" t="s">
        <v>1385</v>
      </c>
      <c r="C609" s="7" t="s">
        <v>1127</v>
      </c>
      <c r="D609" s="8" t="s">
        <v>142</v>
      </c>
      <c r="E609" s="25" t="s">
        <v>1127</v>
      </c>
      <c r="F609" s="18"/>
      <c r="G609" s="18"/>
      <c r="H609" s="17"/>
    </row>
    <row r="610" spans="1:8" s="40" customFormat="1" ht="12">
      <c r="A610" s="39">
        <f t="shared" si="9"/>
        <v>2</v>
      </c>
      <c r="B610" s="39" t="s">
        <v>1385</v>
      </c>
      <c r="C610" s="7" t="s">
        <v>1127</v>
      </c>
      <c r="D610" s="8" t="s">
        <v>95</v>
      </c>
      <c r="E610" s="25" t="s">
        <v>1127</v>
      </c>
      <c r="F610" s="18"/>
      <c r="G610" s="18"/>
      <c r="H610" s="17"/>
    </row>
    <row r="611" spans="1:8" s="3" customFormat="1" ht="12">
      <c r="A611" s="41">
        <f t="shared" si="9"/>
        <v>2</v>
      </c>
      <c r="B611" s="41" t="s">
        <v>1386</v>
      </c>
      <c r="C611" s="1" t="s">
        <v>1666</v>
      </c>
      <c r="D611" s="2" t="s">
        <v>169</v>
      </c>
      <c r="E611" s="26" t="s">
        <v>1174</v>
      </c>
      <c r="F611" s="19">
        <v>0</v>
      </c>
      <c r="G611" s="19"/>
      <c r="H611" s="17">
        <f>ROUND((P_2_50.a Qté)*(P_2_50.a PU),2)</f>
        <v>0</v>
      </c>
    </row>
    <row r="612" spans="1:8" s="3" customFormat="1" ht="12">
      <c r="A612" s="41">
        <f t="shared" si="9"/>
        <v>2</v>
      </c>
      <c r="B612" s="41" t="s">
        <v>1386</v>
      </c>
      <c r="C612" s="1" t="s">
        <v>1667</v>
      </c>
      <c r="D612" s="2" t="s">
        <v>170</v>
      </c>
      <c r="E612" s="26" t="s">
        <v>1174</v>
      </c>
      <c r="F612" s="19">
        <v>0</v>
      </c>
      <c r="G612" s="19"/>
      <c r="H612" s="17">
        <f>ROUND((P_2_50.b Qté)*(P_2_50.b PU),2)</f>
        <v>0</v>
      </c>
    </row>
    <row r="613" spans="1:8" s="40" customFormat="1" ht="24">
      <c r="A613" s="39">
        <f t="shared" si="9"/>
        <v>2</v>
      </c>
      <c r="B613" s="39" t="s">
        <v>1385</v>
      </c>
      <c r="C613" s="7" t="s">
        <v>956</v>
      </c>
      <c r="D613" s="8" t="s">
        <v>900</v>
      </c>
      <c r="E613" s="25" t="s">
        <v>1127</v>
      </c>
      <c r="F613" s="18"/>
      <c r="G613" s="18"/>
      <c r="H613" s="17"/>
    </row>
    <row r="614" spans="1:8" s="40" customFormat="1" ht="36">
      <c r="A614" s="39">
        <f t="shared" si="9"/>
        <v>2</v>
      </c>
      <c r="B614" s="39" t="s">
        <v>1385</v>
      </c>
      <c r="C614" s="7" t="s">
        <v>1127</v>
      </c>
      <c r="D614" s="8" t="s">
        <v>700</v>
      </c>
      <c r="E614" s="25" t="s">
        <v>1127</v>
      </c>
      <c r="F614" s="18"/>
      <c r="G614" s="18"/>
      <c r="H614" s="17"/>
    </row>
    <row r="615" spans="1:8" s="3" customFormat="1" ht="12">
      <c r="A615" s="41">
        <f t="shared" si="9"/>
        <v>2</v>
      </c>
      <c r="B615" s="41" t="s">
        <v>1386</v>
      </c>
      <c r="C615" s="1" t="s">
        <v>1668</v>
      </c>
      <c r="D615" s="2" t="s">
        <v>169</v>
      </c>
      <c r="E615" s="26" t="s">
        <v>901</v>
      </c>
      <c r="F615" s="19">
        <v>0</v>
      </c>
      <c r="G615" s="19"/>
      <c r="H615" s="17">
        <f>ROUND((P_2_51.a Qté)*(P_2_51.a PU),2)</f>
        <v>0</v>
      </c>
    </row>
    <row r="616" spans="1:8" s="3" customFormat="1" ht="12">
      <c r="A616" s="41">
        <f t="shared" si="9"/>
        <v>2</v>
      </c>
      <c r="B616" s="41" t="s">
        <v>1386</v>
      </c>
      <c r="C616" s="1" t="s">
        <v>1671</v>
      </c>
      <c r="D616" s="2" t="s">
        <v>170</v>
      </c>
      <c r="E616" s="26" t="s">
        <v>901</v>
      </c>
      <c r="F616" s="19">
        <v>0</v>
      </c>
      <c r="G616" s="19"/>
      <c r="H616" s="17">
        <f>ROUND((P_2_51.b Qté)*(P_2_51.b PU),2)</f>
        <v>0</v>
      </c>
    </row>
    <row r="617" spans="1:8" s="40" customFormat="1" ht="24">
      <c r="A617" s="39">
        <f t="shared" si="9"/>
        <v>2</v>
      </c>
      <c r="B617" s="39" t="s">
        <v>1385</v>
      </c>
      <c r="C617" s="7" t="s">
        <v>957</v>
      </c>
      <c r="D617" s="51" t="s">
        <v>902</v>
      </c>
      <c r="E617" s="25" t="s">
        <v>1127</v>
      </c>
      <c r="F617" s="18"/>
      <c r="G617" s="18"/>
      <c r="H617" s="17"/>
    </row>
    <row r="618" spans="1:8" s="40" customFormat="1" ht="36">
      <c r="A618" s="39">
        <f t="shared" si="9"/>
        <v>2</v>
      </c>
      <c r="B618" s="39" t="s">
        <v>1385</v>
      </c>
      <c r="C618" s="7" t="s">
        <v>1127</v>
      </c>
      <c r="D618" s="8" t="s">
        <v>701</v>
      </c>
      <c r="E618" s="25" t="s">
        <v>1127</v>
      </c>
      <c r="F618" s="18"/>
      <c r="G618" s="18"/>
      <c r="H618" s="17"/>
    </row>
    <row r="619" spans="1:8" s="3" customFormat="1" ht="12">
      <c r="A619" s="41">
        <f t="shared" si="9"/>
        <v>2</v>
      </c>
      <c r="B619" s="41" t="s">
        <v>1386</v>
      </c>
      <c r="C619" s="1" t="s">
        <v>1669</v>
      </c>
      <c r="D619" s="2" t="s">
        <v>169</v>
      </c>
      <c r="E619" s="26" t="s">
        <v>901</v>
      </c>
      <c r="F619" s="19">
        <v>0</v>
      </c>
      <c r="G619" s="19"/>
      <c r="H619" s="17">
        <f>ROUND((P_2_52.a Qté)*(P_2_52.a PU),2)</f>
        <v>0</v>
      </c>
    </row>
    <row r="620" spans="1:8" s="3" customFormat="1" ht="12">
      <c r="A620" s="41">
        <f t="shared" si="9"/>
        <v>2</v>
      </c>
      <c r="B620" s="41" t="s">
        <v>1386</v>
      </c>
      <c r="C620" s="1" t="s">
        <v>1670</v>
      </c>
      <c r="D620" s="2" t="s">
        <v>170</v>
      </c>
      <c r="E620" s="26" t="s">
        <v>901</v>
      </c>
      <c r="F620" s="19">
        <v>0</v>
      </c>
      <c r="G620" s="19"/>
      <c r="H620" s="17">
        <f>ROUND((P_2_52.b Qté)*(P_2_52.b PU),2)</f>
        <v>0</v>
      </c>
    </row>
    <row r="621" spans="1:8" s="40" customFormat="1" ht="24">
      <c r="A621" s="39">
        <f t="shared" si="9"/>
        <v>2</v>
      </c>
      <c r="B621" s="39" t="s">
        <v>1385</v>
      </c>
      <c r="C621" s="7" t="s">
        <v>958</v>
      </c>
      <c r="D621" s="8" t="s">
        <v>903</v>
      </c>
      <c r="E621" s="25" t="s">
        <v>1127</v>
      </c>
      <c r="F621" s="18"/>
      <c r="G621" s="18"/>
      <c r="H621" s="17"/>
    </row>
    <row r="622" spans="1:8" s="40" customFormat="1" ht="36">
      <c r="A622" s="39">
        <f t="shared" si="9"/>
        <v>2</v>
      </c>
      <c r="B622" s="39" t="s">
        <v>1385</v>
      </c>
      <c r="C622" s="7" t="s">
        <v>1127</v>
      </c>
      <c r="D622" s="8" t="s">
        <v>702</v>
      </c>
      <c r="E622" s="25" t="s">
        <v>1127</v>
      </c>
      <c r="F622" s="18"/>
      <c r="G622" s="18"/>
      <c r="H622" s="17"/>
    </row>
    <row r="623" spans="1:8" s="40" customFormat="1" ht="36">
      <c r="A623" s="39">
        <f t="shared" si="9"/>
        <v>2</v>
      </c>
      <c r="B623" s="39" t="s">
        <v>1385</v>
      </c>
      <c r="C623" s="7" t="s">
        <v>1127</v>
      </c>
      <c r="D623" s="8" t="s">
        <v>164</v>
      </c>
      <c r="E623" s="25" t="s">
        <v>1127</v>
      </c>
      <c r="F623" s="18"/>
      <c r="G623" s="18"/>
      <c r="H623" s="17"/>
    </row>
    <row r="624" spans="1:8" s="40" customFormat="1" ht="12">
      <c r="A624" s="39">
        <f t="shared" si="9"/>
        <v>2</v>
      </c>
      <c r="B624" s="39" t="s">
        <v>1385</v>
      </c>
      <c r="C624" s="7" t="s">
        <v>1127</v>
      </c>
      <c r="D624" s="8" t="s">
        <v>166</v>
      </c>
      <c r="E624" s="25" t="s">
        <v>1127</v>
      </c>
      <c r="F624" s="18"/>
      <c r="G624" s="18"/>
      <c r="H624" s="17"/>
    </row>
    <row r="625" spans="1:8" s="40" customFormat="1" ht="12">
      <c r="A625" s="39">
        <f t="shared" si="9"/>
        <v>2</v>
      </c>
      <c r="B625" s="39" t="s">
        <v>1385</v>
      </c>
      <c r="C625" s="7" t="s">
        <v>1127</v>
      </c>
      <c r="D625" s="8" t="s">
        <v>103</v>
      </c>
      <c r="E625" s="25" t="s">
        <v>1127</v>
      </c>
      <c r="F625" s="18"/>
      <c r="G625" s="18"/>
      <c r="H625" s="17"/>
    </row>
    <row r="626" spans="1:8" s="40" customFormat="1" ht="12">
      <c r="A626" s="39">
        <f t="shared" si="9"/>
        <v>2</v>
      </c>
      <c r="B626" s="39" t="s">
        <v>1385</v>
      </c>
      <c r="C626" s="7" t="s">
        <v>1127</v>
      </c>
      <c r="D626" s="8" t="s">
        <v>167</v>
      </c>
      <c r="E626" s="25" t="s">
        <v>1127</v>
      </c>
      <c r="F626" s="18"/>
      <c r="G626" s="18"/>
      <c r="H626" s="17"/>
    </row>
    <row r="627" spans="1:8" s="40" customFormat="1" ht="24">
      <c r="A627" s="39">
        <f t="shared" si="9"/>
        <v>2</v>
      </c>
      <c r="B627" s="39" t="s">
        <v>1385</v>
      </c>
      <c r="C627" s="7" t="s">
        <v>1127</v>
      </c>
      <c r="D627" s="8" t="s">
        <v>161</v>
      </c>
      <c r="E627" s="25" t="s">
        <v>1127</v>
      </c>
      <c r="F627" s="18"/>
      <c r="G627" s="18"/>
      <c r="H627" s="17"/>
    </row>
    <row r="628" spans="1:8" s="40" customFormat="1" ht="12">
      <c r="A628" s="39">
        <f t="shared" si="9"/>
        <v>2</v>
      </c>
      <c r="B628" s="39" t="s">
        <v>1385</v>
      </c>
      <c r="C628" s="7" t="s">
        <v>1127</v>
      </c>
      <c r="D628" s="8" t="s">
        <v>142</v>
      </c>
      <c r="E628" s="25" t="s">
        <v>1127</v>
      </c>
      <c r="F628" s="18"/>
      <c r="G628" s="18"/>
      <c r="H628" s="17"/>
    </row>
    <row r="629" spans="1:8" s="40" customFormat="1" ht="12">
      <c r="A629" s="39">
        <f t="shared" si="9"/>
        <v>2</v>
      </c>
      <c r="B629" s="39" t="s">
        <v>1385</v>
      </c>
      <c r="C629" s="7" t="s">
        <v>1127</v>
      </c>
      <c r="D629" s="8" t="s">
        <v>95</v>
      </c>
      <c r="E629" s="25" t="s">
        <v>1127</v>
      </c>
      <c r="F629" s="18"/>
      <c r="G629" s="18"/>
      <c r="H629" s="17"/>
    </row>
    <row r="630" spans="1:8" s="3" customFormat="1" ht="12">
      <c r="A630" s="41">
        <f t="shared" si="9"/>
        <v>2</v>
      </c>
      <c r="B630" s="41" t="s">
        <v>1386</v>
      </c>
      <c r="C630" s="1" t="s">
        <v>1672</v>
      </c>
      <c r="D630" s="2" t="s">
        <v>171</v>
      </c>
      <c r="E630" s="26" t="s">
        <v>1206</v>
      </c>
      <c r="F630" s="19">
        <v>0</v>
      </c>
      <c r="G630" s="19"/>
      <c r="H630" s="17">
        <f>ROUND((P_2_53.a Qté)*(P_2_53.a PU),2)</f>
        <v>0</v>
      </c>
    </row>
    <row r="631" spans="1:8" s="3" customFormat="1" ht="12">
      <c r="A631" s="41">
        <f t="shared" si="9"/>
        <v>2</v>
      </c>
      <c r="B631" s="41" t="s">
        <v>1386</v>
      </c>
      <c r="C631" s="1" t="s">
        <v>1673</v>
      </c>
      <c r="D631" s="2" t="s">
        <v>172</v>
      </c>
      <c r="E631" s="26" t="s">
        <v>1206</v>
      </c>
      <c r="F631" s="19">
        <v>0</v>
      </c>
      <c r="G631" s="19"/>
      <c r="H631" s="17">
        <f>ROUND((P_2_53.b Qté)*(P_2_53.b PU),2)</f>
        <v>0</v>
      </c>
    </row>
    <row r="632" spans="1:8" s="3" customFormat="1" ht="12">
      <c r="A632" s="41">
        <f t="shared" si="9"/>
        <v>2</v>
      </c>
      <c r="B632" s="41" t="s">
        <v>1386</v>
      </c>
      <c r="C632" s="1" t="s">
        <v>1674</v>
      </c>
      <c r="D632" s="2" t="s">
        <v>173</v>
      </c>
      <c r="E632" s="26" t="s">
        <v>1206</v>
      </c>
      <c r="F632" s="19">
        <v>0</v>
      </c>
      <c r="G632" s="19"/>
      <c r="H632" s="17">
        <f>ROUND((P_2_53.c Qté)*(P_2_53.c PU),2)</f>
        <v>0</v>
      </c>
    </row>
    <row r="633" spans="1:8" s="40" customFormat="1" ht="24">
      <c r="A633" s="39">
        <f t="shared" si="9"/>
        <v>2</v>
      </c>
      <c r="B633" s="39" t="s">
        <v>1385</v>
      </c>
      <c r="C633" s="7" t="s">
        <v>959</v>
      </c>
      <c r="D633" s="8" t="s">
        <v>904</v>
      </c>
      <c r="E633" s="25" t="s">
        <v>1127</v>
      </c>
      <c r="F633" s="18"/>
      <c r="G633" s="18"/>
      <c r="H633" s="17"/>
    </row>
    <row r="634" spans="1:8" s="40" customFormat="1" ht="36">
      <c r="A634" s="39">
        <f t="shared" si="9"/>
        <v>2</v>
      </c>
      <c r="B634" s="39" t="s">
        <v>1385</v>
      </c>
      <c r="C634" s="7" t="s">
        <v>1127</v>
      </c>
      <c r="D634" s="8" t="s">
        <v>905</v>
      </c>
      <c r="E634" s="25" t="s">
        <v>1127</v>
      </c>
      <c r="F634" s="18"/>
      <c r="G634" s="18"/>
      <c r="H634" s="17"/>
    </row>
    <row r="635" spans="1:8" s="40" customFormat="1" ht="12">
      <c r="A635" s="39">
        <f t="shared" si="9"/>
        <v>2</v>
      </c>
      <c r="B635" s="39" t="s">
        <v>1385</v>
      </c>
      <c r="C635" s="7" t="s">
        <v>1127</v>
      </c>
      <c r="D635" s="8" t="s">
        <v>174</v>
      </c>
      <c r="E635" s="25" t="s">
        <v>1127</v>
      </c>
      <c r="F635" s="18"/>
      <c r="G635" s="18"/>
      <c r="H635" s="17"/>
    </row>
    <row r="636" spans="1:8" s="40" customFormat="1" ht="12">
      <c r="A636" s="39">
        <f t="shared" si="9"/>
        <v>2</v>
      </c>
      <c r="B636" s="39" t="s">
        <v>1385</v>
      </c>
      <c r="C636" s="7" t="s">
        <v>1127</v>
      </c>
      <c r="D636" s="8" t="s">
        <v>103</v>
      </c>
      <c r="E636" s="25" t="s">
        <v>1127</v>
      </c>
      <c r="F636" s="18"/>
      <c r="G636" s="18"/>
      <c r="H636" s="17"/>
    </row>
    <row r="637" spans="1:8" s="40" customFormat="1" ht="12">
      <c r="A637" s="39">
        <f t="shared" si="9"/>
        <v>2</v>
      </c>
      <c r="B637" s="39" t="s">
        <v>1385</v>
      </c>
      <c r="C637" s="7" t="s">
        <v>1127</v>
      </c>
      <c r="D637" s="8" t="s">
        <v>175</v>
      </c>
      <c r="E637" s="25" t="s">
        <v>1127</v>
      </c>
      <c r="F637" s="18"/>
      <c r="G637" s="18"/>
      <c r="H637" s="17"/>
    </row>
    <row r="638" spans="1:8" s="40" customFormat="1" ht="24">
      <c r="A638" s="39">
        <f t="shared" si="9"/>
        <v>2</v>
      </c>
      <c r="B638" s="39" t="s">
        <v>1385</v>
      </c>
      <c r="C638" s="7" t="s">
        <v>1127</v>
      </c>
      <c r="D638" s="8" t="s">
        <v>148</v>
      </c>
      <c r="E638" s="25" t="s">
        <v>1127</v>
      </c>
      <c r="F638" s="18"/>
      <c r="G638" s="18"/>
      <c r="H638" s="17"/>
    </row>
    <row r="639" spans="1:8" s="40" customFormat="1" ht="24">
      <c r="A639" s="39">
        <f t="shared" si="9"/>
        <v>2</v>
      </c>
      <c r="B639" s="39" t="s">
        <v>1385</v>
      </c>
      <c r="C639" s="7" t="s">
        <v>1127</v>
      </c>
      <c r="D639" s="8" t="s">
        <v>176</v>
      </c>
      <c r="E639" s="25" t="s">
        <v>1127</v>
      </c>
      <c r="F639" s="18"/>
      <c r="G639" s="18"/>
      <c r="H639" s="17"/>
    </row>
    <row r="640" spans="1:8" s="40" customFormat="1" ht="36">
      <c r="A640" s="39">
        <f t="shared" si="9"/>
        <v>2</v>
      </c>
      <c r="B640" s="39" t="s">
        <v>1385</v>
      </c>
      <c r="C640" s="7" t="s">
        <v>1127</v>
      </c>
      <c r="D640" s="8" t="s">
        <v>149</v>
      </c>
      <c r="E640" s="25" t="s">
        <v>1127</v>
      </c>
      <c r="F640" s="18"/>
      <c r="G640" s="18"/>
      <c r="H640" s="17"/>
    </row>
    <row r="641" spans="1:8" s="40" customFormat="1" ht="36">
      <c r="A641" s="39">
        <f t="shared" si="9"/>
        <v>2</v>
      </c>
      <c r="B641" s="39" t="s">
        <v>1385</v>
      </c>
      <c r="C641" s="7" t="s">
        <v>1127</v>
      </c>
      <c r="D641" s="8" t="s">
        <v>155</v>
      </c>
      <c r="E641" s="25" t="s">
        <v>1127</v>
      </c>
      <c r="F641" s="18"/>
      <c r="G641" s="18"/>
      <c r="H641" s="17"/>
    </row>
    <row r="642" spans="1:8" s="40" customFormat="1" ht="12">
      <c r="A642" s="39">
        <f t="shared" si="9"/>
        <v>2</v>
      </c>
      <c r="B642" s="39" t="s">
        <v>1385</v>
      </c>
      <c r="C642" s="7" t="s">
        <v>1127</v>
      </c>
      <c r="D642" s="8" t="s">
        <v>142</v>
      </c>
      <c r="E642" s="25" t="s">
        <v>1127</v>
      </c>
      <c r="F642" s="18"/>
      <c r="G642" s="18"/>
      <c r="H642" s="17"/>
    </row>
    <row r="643" spans="1:8" s="40" customFormat="1" ht="12">
      <c r="A643" s="39">
        <f t="shared" si="9"/>
        <v>2</v>
      </c>
      <c r="B643" s="39" t="s">
        <v>1385</v>
      </c>
      <c r="C643" s="7" t="s">
        <v>1127</v>
      </c>
      <c r="D643" s="8" t="s">
        <v>95</v>
      </c>
      <c r="E643" s="25" t="s">
        <v>1127</v>
      </c>
      <c r="F643" s="18"/>
      <c r="G643" s="18"/>
      <c r="H643" s="17"/>
    </row>
    <row r="644" spans="1:8" s="3" customFormat="1" ht="12">
      <c r="A644" s="41">
        <f t="shared" si="9"/>
        <v>2</v>
      </c>
      <c r="B644" s="41" t="s">
        <v>1386</v>
      </c>
      <c r="C644" s="1" t="s">
        <v>1675</v>
      </c>
      <c r="D644" s="2" t="s">
        <v>177</v>
      </c>
      <c r="E644" s="26" t="s">
        <v>1227</v>
      </c>
      <c r="F644" s="19">
        <v>0</v>
      </c>
      <c r="G644" s="19"/>
      <c r="H644" s="17">
        <f>ROUND((P_2_54.a Qté)*(P_2_54.a PU),2)</f>
        <v>0</v>
      </c>
    </row>
    <row r="645" spans="1:8" s="3" customFormat="1" ht="24">
      <c r="A645" s="41">
        <f aca="true" t="shared" si="10" ref="A645:A686">A644</f>
        <v>2</v>
      </c>
      <c r="B645" s="41" t="s">
        <v>1386</v>
      </c>
      <c r="C645" s="1" t="s">
        <v>1676</v>
      </c>
      <c r="D645" s="2" t="s">
        <v>178</v>
      </c>
      <c r="E645" s="26" t="s">
        <v>1227</v>
      </c>
      <c r="F645" s="19">
        <v>0</v>
      </c>
      <c r="G645" s="19"/>
      <c r="H645" s="17">
        <f>ROUND((P_2_54.b Qté)*(P_2_54.b PU),2)</f>
        <v>0</v>
      </c>
    </row>
    <row r="646" spans="1:8" s="3" customFormat="1" ht="24">
      <c r="A646" s="41">
        <f t="shared" si="10"/>
        <v>2</v>
      </c>
      <c r="B646" s="41" t="s">
        <v>1386</v>
      </c>
      <c r="C646" s="1" t="s">
        <v>1677</v>
      </c>
      <c r="D646" s="2" t="s">
        <v>179</v>
      </c>
      <c r="E646" s="26" t="s">
        <v>1227</v>
      </c>
      <c r="F646" s="19">
        <v>0</v>
      </c>
      <c r="G646" s="19"/>
      <c r="H646" s="17">
        <f>ROUND((P_2_54.c Qté)*(P_2_54.c PU),2)</f>
        <v>0</v>
      </c>
    </row>
    <row r="647" spans="1:8" s="3" customFormat="1" ht="36">
      <c r="A647" s="41">
        <f t="shared" si="10"/>
        <v>2</v>
      </c>
      <c r="B647" s="41" t="s">
        <v>1386</v>
      </c>
      <c r="C647" s="1" t="s">
        <v>1678</v>
      </c>
      <c r="D647" s="2" t="s">
        <v>180</v>
      </c>
      <c r="E647" s="26" t="s">
        <v>1227</v>
      </c>
      <c r="F647" s="19">
        <v>0</v>
      </c>
      <c r="G647" s="19"/>
      <c r="H647" s="17">
        <f>ROUND((P_2_54.d Qté)*(P_2_54.d PU),2)</f>
        <v>0</v>
      </c>
    </row>
    <row r="648" spans="1:8" s="3" customFormat="1" ht="12">
      <c r="A648" s="41">
        <f t="shared" si="10"/>
        <v>2</v>
      </c>
      <c r="B648" s="41" t="s">
        <v>1386</v>
      </c>
      <c r="C648" s="1" t="s">
        <v>1679</v>
      </c>
      <c r="D648" s="2" t="s">
        <v>181</v>
      </c>
      <c r="E648" s="26" t="s">
        <v>1227</v>
      </c>
      <c r="F648" s="19">
        <v>0</v>
      </c>
      <c r="G648" s="19"/>
      <c r="H648" s="17">
        <f>ROUND((P_2_54.e Qté)*(P_2_54.e PU),2)</f>
        <v>0</v>
      </c>
    </row>
    <row r="649" spans="1:8" s="3" customFormat="1" ht="12">
      <c r="A649" s="41">
        <f t="shared" si="10"/>
        <v>2</v>
      </c>
      <c r="B649" s="41" t="s">
        <v>1386</v>
      </c>
      <c r="C649" s="1" t="s">
        <v>1680</v>
      </c>
      <c r="D649" s="2" t="s">
        <v>182</v>
      </c>
      <c r="E649" s="26" t="s">
        <v>1227</v>
      </c>
      <c r="F649" s="19">
        <v>0</v>
      </c>
      <c r="G649" s="19"/>
      <c r="H649" s="17">
        <f>ROUND((P_2_54.f Qté)*(P_2_54.f PU),2)</f>
        <v>0</v>
      </c>
    </row>
    <row r="650" spans="1:8" s="40" customFormat="1" ht="24">
      <c r="A650" s="39">
        <f t="shared" si="10"/>
        <v>2</v>
      </c>
      <c r="B650" s="39" t="s">
        <v>1385</v>
      </c>
      <c r="C650" s="7" t="s">
        <v>960</v>
      </c>
      <c r="D650" s="8" t="s">
        <v>843</v>
      </c>
      <c r="E650" s="25" t="s">
        <v>1127</v>
      </c>
      <c r="F650" s="18"/>
      <c r="G650" s="18"/>
      <c r="H650" s="17"/>
    </row>
    <row r="651" spans="1:8" s="40" customFormat="1" ht="36">
      <c r="A651" s="39">
        <f t="shared" si="10"/>
        <v>2</v>
      </c>
      <c r="B651" s="39" t="s">
        <v>1385</v>
      </c>
      <c r="C651" s="7" t="s">
        <v>1127</v>
      </c>
      <c r="D651" s="8" t="s">
        <v>844</v>
      </c>
      <c r="E651" s="25" t="s">
        <v>1127</v>
      </c>
      <c r="F651" s="18"/>
      <c r="G651" s="18"/>
      <c r="H651" s="17"/>
    </row>
    <row r="652" spans="1:8" s="40" customFormat="1" ht="12">
      <c r="A652" s="39">
        <f t="shared" si="10"/>
        <v>2</v>
      </c>
      <c r="B652" s="39" t="s">
        <v>1385</v>
      </c>
      <c r="C652" s="7" t="s">
        <v>1127</v>
      </c>
      <c r="D652" s="8" t="s">
        <v>183</v>
      </c>
      <c r="E652" s="25" t="s">
        <v>1127</v>
      </c>
      <c r="F652" s="18"/>
      <c r="G652" s="18"/>
      <c r="H652" s="17"/>
    </row>
    <row r="653" spans="1:8" s="40" customFormat="1" ht="24">
      <c r="A653" s="39">
        <f t="shared" si="10"/>
        <v>2</v>
      </c>
      <c r="B653" s="39" t="s">
        <v>1385</v>
      </c>
      <c r="C653" s="7" t="s">
        <v>1127</v>
      </c>
      <c r="D653" s="8" t="s">
        <v>161</v>
      </c>
      <c r="E653" s="25" t="s">
        <v>1127</v>
      </c>
      <c r="F653" s="18"/>
      <c r="G653" s="18"/>
      <c r="H653" s="17"/>
    </row>
    <row r="654" spans="1:8" s="40" customFormat="1" ht="12">
      <c r="A654" s="39">
        <f t="shared" si="10"/>
        <v>2</v>
      </c>
      <c r="B654" s="39" t="s">
        <v>1385</v>
      </c>
      <c r="C654" s="7" t="s">
        <v>1127</v>
      </c>
      <c r="D654" s="8" t="s">
        <v>184</v>
      </c>
      <c r="E654" s="25" t="s">
        <v>1127</v>
      </c>
      <c r="F654" s="18"/>
      <c r="G654" s="18"/>
      <c r="H654" s="17"/>
    </row>
    <row r="655" spans="1:8" s="40" customFormat="1" ht="12">
      <c r="A655" s="39">
        <f t="shared" si="10"/>
        <v>2</v>
      </c>
      <c r="B655" s="39" t="s">
        <v>1385</v>
      </c>
      <c r="C655" s="7" t="s">
        <v>1127</v>
      </c>
      <c r="D655" s="8" t="s">
        <v>185</v>
      </c>
      <c r="E655" s="25" t="s">
        <v>1127</v>
      </c>
      <c r="F655" s="18"/>
      <c r="G655" s="18"/>
      <c r="H655" s="17"/>
    </row>
    <row r="656" spans="1:8" s="40" customFormat="1" ht="12">
      <c r="A656" s="39">
        <f t="shared" si="10"/>
        <v>2</v>
      </c>
      <c r="B656" s="39" t="s">
        <v>1385</v>
      </c>
      <c r="C656" s="7" t="s">
        <v>1127</v>
      </c>
      <c r="D656" s="8" t="s">
        <v>142</v>
      </c>
      <c r="E656" s="25" t="s">
        <v>1127</v>
      </c>
      <c r="F656" s="18"/>
      <c r="G656" s="18"/>
      <c r="H656" s="17"/>
    </row>
    <row r="657" spans="1:8" s="40" customFormat="1" ht="12">
      <c r="A657" s="39">
        <f t="shared" si="10"/>
        <v>2</v>
      </c>
      <c r="B657" s="39" t="s">
        <v>1385</v>
      </c>
      <c r="C657" s="7" t="s">
        <v>1127</v>
      </c>
      <c r="D657" s="8" t="s">
        <v>95</v>
      </c>
      <c r="E657" s="25" t="s">
        <v>1127</v>
      </c>
      <c r="F657" s="18"/>
      <c r="G657" s="18"/>
      <c r="H657" s="17"/>
    </row>
    <row r="658" spans="1:8" s="40" customFormat="1" ht="24">
      <c r="A658" s="39">
        <f t="shared" si="10"/>
        <v>2</v>
      </c>
      <c r="B658" s="39" t="s">
        <v>1385</v>
      </c>
      <c r="C658" s="7" t="s">
        <v>1127</v>
      </c>
      <c r="D658" s="8" t="s">
        <v>1240</v>
      </c>
      <c r="E658" s="25" t="s">
        <v>1127</v>
      </c>
      <c r="F658" s="18"/>
      <c r="G658" s="18"/>
      <c r="H658" s="17"/>
    </row>
    <row r="659" spans="1:8" s="3" customFormat="1" ht="12">
      <c r="A659" s="41">
        <f t="shared" si="10"/>
        <v>2</v>
      </c>
      <c r="B659" s="41" t="s">
        <v>1386</v>
      </c>
      <c r="C659" s="1" t="s">
        <v>1681</v>
      </c>
      <c r="D659" s="2" t="s">
        <v>186</v>
      </c>
      <c r="E659" s="26" t="s">
        <v>1227</v>
      </c>
      <c r="F659" s="19">
        <v>0</v>
      </c>
      <c r="G659" s="19"/>
      <c r="H659" s="17">
        <f>ROUND((P_2_55.a Qté)*(P_2_55.a PU),2)</f>
        <v>0</v>
      </c>
    </row>
    <row r="660" spans="1:8" s="3" customFormat="1" ht="12">
      <c r="A660" s="41">
        <f t="shared" si="10"/>
        <v>2</v>
      </c>
      <c r="B660" s="41" t="s">
        <v>1386</v>
      </c>
      <c r="C660" s="1" t="s">
        <v>1682</v>
      </c>
      <c r="D660" s="2" t="s">
        <v>187</v>
      </c>
      <c r="E660" s="26" t="s">
        <v>1227</v>
      </c>
      <c r="F660" s="19">
        <v>0</v>
      </c>
      <c r="G660" s="19"/>
      <c r="H660" s="17">
        <f>ROUND((P_2_55.b Qté)*(P_2_55.b PU),2)</f>
        <v>0</v>
      </c>
    </row>
    <row r="661" spans="1:8" s="40" customFormat="1" ht="24">
      <c r="A661" s="39">
        <f t="shared" si="10"/>
        <v>2</v>
      </c>
      <c r="B661" s="39" t="s">
        <v>1385</v>
      </c>
      <c r="C661" s="7" t="s">
        <v>1127</v>
      </c>
      <c r="D661" s="8" t="s">
        <v>1241</v>
      </c>
      <c r="E661" s="25" t="s">
        <v>1127</v>
      </c>
      <c r="F661" s="18"/>
      <c r="G661" s="18"/>
      <c r="H661" s="17"/>
    </row>
    <row r="662" spans="1:8" s="3" customFormat="1" ht="12">
      <c r="A662" s="41">
        <f t="shared" si="10"/>
        <v>2</v>
      </c>
      <c r="B662" s="41" t="s">
        <v>1386</v>
      </c>
      <c r="C662" s="1" t="s">
        <v>1683</v>
      </c>
      <c r="D662" s="2" t="s">
        <v>188</v>
      </c>
      <c r="E662" s="26" t="s">
        <v>1227</v>
      </c>
      <c r="F662" s="19">
        <v>0</v>
      </c>
      <c r="G662" s="19"/>
      <c r="H662" s="17">
        <f>ROUND((P_2_55.c Qté)*(P_2_55.c PU),2)</f>
        <v>0</v>
      </c>
    </row>
    <row r="663" spans="1:8" s="3" customFormat="1" ht="12">
      <c r="A663" s="41">
        <f t="shared" si="10"/>
        <v>2</v>
      </c>
      <c r="B663" s="41" t="s">
        <v>1386</v>
      </c>
      <c r="C663" s="1" t="s">
        <v>1684</v>
      </c>
      <c r="D663" s="2" t="s">
        <v>189</v>
      </c>
      <c r="E663" s="26" t="s">
        <v>1227</v>
      </c>
      <c r="F663" s="19">
        <v>0</v>
      </c>
      <c r="G663" s="19"/>
      <c r="H663" s="17">
        <f>ROUND((P_2_55.d Qté)*(P_2_55.d PU),2)</f>
        <v>0</v>
      </c>
    </row>
    <row r="664" spans="1:8" s="40" customFormat="1" ht="12">
      <c r="A664" s="39">
        <f t="shared" si="10"/>
        <v>2</v>
      </c>
      <c r="B664" s="39" t="s">
        <v>1385</v>
      </c>
      <c r="C664" s="7" t="s">
        <v>1127</v>
      </c>
      <c r="D664" s="8" t="s">
        <v>845</v>
      </c>
      <c r="E664" s="25" t="s">
        <v>1127</v>
      </c>
      <c r="F664" s="18"/>
      <c r="G664" s="18"/>
      <c r="H664" s="17"/>
    </row>
    <row r="665" spans="1:8" s="40" customFormat="1" ht="24">
      <c r="A665" s="39">
        <f t="shared" si="10"/>
        <v>2</v>
      </c>
      <c r="B665" s="39" t="s">
        <v>1385</v>
      </c>
      <c r="C665" s="7" t="s">
        <v>961</v>
      </c>
      <c r="D665" s="8" t="s">
        <v>846</v>
      </c>
      <c r="E665" s="25" t="s">
        <v>1127</v>
      </c>
      <c r="F665" s="18"/>
      <c r="G665" s="18"/>
      <c r="H665" s="17"/>
    </row>
    <row r="666" spans="1:8" s="40" customFormat="1" ht="24">
      <c r="A666" s="39">
        <f t="shared" si="10"/>
        <v>2</v>
      </c>
      <c r="B666" s="39" t="s">
        <v>1385</v>
      </c>
      <c r="C666" s="7" t="s">
        <v>1127</v>
      </c>
      <c r="D666" s="8" t="s">
        <v>1299</v>
      </c>
      <c r="E666" s="25" t="s">
        <v>1127</v>
      </c>
      <c r="F666" s="18"/>
      <c r="G666" s="18"/>
      <c r="H666" s="17"/>
    </row>
    <row r="667" spans="1:8" s="40" customFormat="1" ht="12">
      <c r="A667" s="39">
        <f t="shared" si="10"/>
        <v>2</v>
      </c>
      <c r="B667" s="39" t="s">
        <v>1385</v>
      </c>
      <c r="C667" s="7" t="s">
        <v>1127</v>
      </c>
      <c r="D667" s="8" t="s">
        <v>190</v>
      </c>
      <c r="E667" s="25" t="s">
        <v>1127</v>
      </c>
      <c r="F667" s="18"/>
      <c r="G667" s="18"/>
      <c r="H667" s="17"/>
    </row>
    <row r="668" spans="1:8" s="40" customFormat="1" ht="24">
      <c r="A668" s="39">
        <f t="shared" si="10"/>
        <v>2</v>
      </c>
      <c r="B668" s="39" t="s">
        <v>1385</v>
      </c>
      <c r="C668" s="7" t="s">
        <v>1127</v>
      </c>
      <c r="D668" s="8" t="s">
        <v>191</v>
      </c>
      <c r="E668" s="25" t="s">
        <v>1127</v>
      </c>
      <c r="F668" s="18"/>
      <c r="G668" s="18"/>
      <c r="H668" s="17"/>
    </row>
    <row r="669" spans="1:8" s="40" customFormat="1" ht="36">
      <c r="A669" s="39">
        <f t="shared" si="10"/>
        <v>2</v>
      </c>
      <c r="B669" s="39" t="s">
        <v>1385</v>
      </c>
      <c r="C669" s="7" t="s">
        <v>1127</v>
      </c>
      <c r="D669" s="8" t="s">
        <v>192</v>
      </c>
      <c r="E669" s="25" t="s">
        <v>1127</v>
      </c>
      <c r="F669" s="18"/>
      <c r="G669" s="18"/>
      <c r="H669" s="17"/>
    </row>
    <row r="670" spans="1:8" s="40" customFormat="1" ht="12">
      <c r="A670" s="39">
        <f t="shared" si="10"/>
        <v>2</v>
      </c>
      <c r="B670" s="39" t="s">
        <v>1385</v>
      </c>
      <c r="C670" s="7" t="s">
        <v>1127</v>
      </c>
      <c r="D670" s="8" t="s">
        <v>193</v>
      </c>
      <c r="E670" s="25" t="s">
        <v>1127</v>
      </c>
      <c r="F670" s="18"/>
      <c r="G670" s="18"/>
      <c r="H670" s="17"/>
    </row>
    <row r="671" spans="1:8" s="40" customFormat="1" ht="12">
      <c r="A671" s="39">
        <f t="shared" si="10"/>
        <v>2</v>
      </c>
      <c r="B671" s="39" t="s">
        <v>1385</v>
      </c>
      <c r="C671" s="7" t="s">
        <v>1127</v>
      </c>
      <c r="D671" s="8" t="s">
        <v>194</v>
      </c>
      <c r="E671" s="25" t="s">
        <v>1127</v>
      </c>
      <c r="F671" s="18"/>
      <c r="G671" s="18"/>
      <c r="H671" s="17"/>
    </row>
    <row r="672" spans="1:8" s="40" customFormat="1" ht="12">
      <c r="A672" s="39">
        <f t="shared" si="10"/>
        <v>2</v>
      </c>
      <c r="B672" s="39" t="s">
        <v>1385</v>
      </c>
      <c r="C672" s="7" t="s">
        <v>1127</v>
      </c>
      <c r="D672" s="8" t="s">
        <v>195</v>
      </c>
      <c r="E672" s="25" t="s">
        <v>1127</v>
      </c>
      <c r="F672" s="18"/>
      <c r="G672" s="18"/>
      <c r="H672" s="17"/>
    </row>
    <row r="673" spans="1:8" s="40" customFormat="1" ht="48">
      <c r="A673" s="39">
        <f t="shared" si="10"/>
        <v>2</v>
      </c>
      <c r="B673" s="39" t="s">
        <v>1385</v>
      </c>
      <c r="C673" s="7" t="s">
        <v>1127</v>
      </c>
      <c r="D673" s="8" t="s">
        <v>196</v>
      </c>
      <c r="E673" s="25" t="s">
        <v>1127</v>
      </c>
      <c r="F673" s="18"/>
      <c r="G673" s="18"/>
      <c r="H673" s="17"/>
    </row>
    <row r="674" spans="1:8" s="40" customFormat="1" ht="12">
      <c r="A674" s="39">
        <f t="shared" si="10"/>
        <v>2</v>
      </c>
      <c r="B674" s="39" t="s">
        <v>1385</v>
      </c>
      <c r="C674" s="7" t="s">
        <v>1127</v>
      </c>
      <c r="D674" s="8" t="s">
        <v>197</v>
      </c>
      <c r="E674" s="25" t="s">
        <v>1127</v>
      </c>
      <c r="F674" s="18"/>
      <c r="G674" s="18"/>
      <c r="H674" s="17"/>
    </row>
    <row r="675" spans="1:8" s="40" customFormat="1" ht="12">
      <c r="A675" s="39">
        <f t="shared" si="10"/>
        <v>2</v>
      </c>
      <c r="B675" s="39" t="s">
        <v>1385</v>
      </c>
      <c r="C675" s="7" t="s">
        <v>1127</v>
      </c>
      <c r="D675" s="8" t="s">
        <v>1300</v>
      </c>
      <c r="E675" s="25" t="s">
        <v>1127</v>
      </c>
      <c r="F675" s="18"/>
      <c r="G675" s="18"/>
      <c r="H675" s="17"/>
    </row>
    <row r="676" spans="1:8" s="3" customFormat="1" ht="24">
      <c r="A676" s="41">
        <f t="shared" si="10"/>
        <v>2</v>
      </c>
      <c r="B676" s="41" t="s">
        <v>1386</v>
      </c>
      <c r="C676" s="1" t="s">
        <v>1685</v>
      </c>
      <c r="D676" s="2" t="s">
        <v>198</v>
      </c>
      <c r="E676" s="26" t="s">
        <v>1174</v>
      </c>
      <c r="F676" s="19">
        <v>0</v>
      </c>
      <c r="G676" s="19"/>
      <c r="H676" s="17">
        <f>ROUND((P_2_56.a Qté)*(P_2_56.a PU),2)</f>
        <v>0</v>
      </c>
    </row>
    <row r="677" spans="1:8" s="3" customFormat="1" ht="24">
      <c r="A677" s="41">
        <f t="shared" si="10"/>
        <v>2</v>
      </c>
      <c r="B677" s="41" t="s">
        <v>1386</v>
      </c>
      <c r="C677" s="1" t="s">
        <v>1686</v>
      </c>
      <c r="D677" s="2" t="s">
        <v>199</v>
      </c>
      <c r="E677" s="26" t="s">
        <v>1174</v>
      </c>
      <c r="F677" s="19">
        <v>0</v>
      </c>
      <c r="G677" s="19"/>
      <c r="H677" s="17">
        <f>ROUND((P_2_56.b Qté)*(P_2_56.b PU),2)</f>
        <v>0</v>
      </c>
    </row>
    <row r="678" spans="1:8" s="40" customFormat="1" ht="12">
      <c r="A678" s="39">
        <f t="shared" si="10"/>
        <v>2</v>
      </c>
      <c r="B678" s="39" t="s">
        <v>1385</v>
      </c>
      <c r="C678" s="7" t="s">
        <v>1127</v>
      </c>
      <c r="D678" s="8" t="s">
        <v>1301</v>
      </c>
      <c r="E678" s="25" t="s">
        <v>1127</v>
      </c>
      <c r="F678" s="18"/>
      <c r="G678" s="18"/>
      <c r="H678" s="17"/>
    </row>
    <row r="679" spans="1:8" s="3" customFormat="1" ht="24">
      <c r="A679" s="41">
        <f t="shared" si="10"/>
        <v>2</v>
      </c>
      <c r="B679" s="41" t="s">
        <v>1386</v>
      </c>
      <c r="C679" s="1" t="s">
        <v>1687</v>
      </c>
      <c r="D679" s="2" t="s">
        <v>200</v>
      </c>
      <c r="E679" s="26" t="s">
        <v>1174</v>
      </c>
      <c r="F679" s="19">
        <v>0</v>
      </c>
      <c r="G679" s="19"/>
      <c r="H679" s="17">
        <f>ROUND((P_2_56.c Qté)*(P_2_56.c PU),2)</f>
        <v>0</v>
      </c>
    </row>
    <row r="680" spans="1:8" s="3" customFormat="1" ht="24">
      <c r="A680" s="41">
        <f t="shared" si="10"/>
        <v>2</v>
      </c>
      <c r="B680" s="41" t="s">
        <v>1386</v>
      </c>
      <c r="C680" s="1" t="s">
        <v>1688</v>
      </c>
      <c r="D680" s="2" t="s">
        <v>201</v>
      </c>
      <c r="E680" s="26" t="s">
        <v>1174</v>
      </c>
      <c r="F680" s="19">
        <v>0</v>
      </c>
      <c r="G680" s="19"/>
      <c r="H680" s="17">
        <f>ROUND((P_2_56.d Qté)*(P_2_56.d PU),2)</f>
        <v>0</v>
      </c>
    </row>
    <row r="681" spans="1:8" s="40" customFormat="1" ht="12">
      <c r="A681" s="39">
        <f t="shared" si="10"/>
        <v>2</v>
      </c>
      <c r="B681" s="39" t="s">
        <v>1385</v>
      </c>
      <c r="C681" s="7" t="s">
        <v>1127</v>
      </c>
      <c r="D681" s="8" t="s">
        <v>1302</v>
      </c>
      <c r="E681" s="25" t="s">
        <v>1127</v>
      </c>
      <c r="F681" s="18"/>
      <c r="G681" s="18"/>
      <c r="H681" s="17"/>
    </row>
    <row r="682" spans="1:8" s="3" customFormat="1" ht="24">
      <c r="A682" s="41">
        <f t="shared" si="10"/>
        <v>2</v>
      </c>
      <c r="B682" s="41" t="s">
        <v>1386</v>
      </c>
      <c r="C682" s="1" t="s">
        <v>1689</v>
      </c>
      <c r="D682" s="2" t="s">
        <v>202</v>
      </c>
      <c r="E682" s="26" t="s">
        <v>1174</v>
      </c>
      <c r="F682" s="19">
        <v>0</v>
      </c>
      <c r="G682" s="19"/>
      <c r="H682" s="17">
        <f>ROUND((P_2_56.e Qté)*(P_2_56.e PU),2)</f>
        <v>0</v>
      </c>
    </row>
    <row r="683" spans="1:8" s="3" customFormat="1" ht="24">
      <c r="A683" s="41">
        <f t="shared" si="10"/>
        <v>2</v>
      </c>
      <c r="B683" s="41" t="s">
        <v>1386</v>
      </c>
      <c r="C683" s="1" t="s">
        <v>1690</v>
      </c>
      <c r="D683" s="2" t="s">
        <v>203</v>
      </c>
      <c r="E683" s="26" t="s">
        <v>1174</v>
      </c>
      <c r="F683" s="19">
        <v>0</v>
      </c>
      <c r="G683" s="19"/>
      <c r="H683" s="17">
        <f>ROUND((P_2_56.f Qté)*(P_2_56.f PU),2)</f>
        <v>0</v>
      </c>
    </row>
    <row r="684" spans="1:8" s="40" customFormat="1" ht="12">
      <c r="A684" s="39">
        <f t="shared" si="10"/>
        <v>2</v>
      </c>
      <c r="B684" s="39" t="s">
        <v>1385</v>
      </c>
      <c r="C684" s="7" t="s">
        <v>1127</v>
      </c>
      <c r="D684" s="8" t="s">
        <v>1303</v>
      </c>
      <c r="E684" s="25" t="s">
        <v>1127</v>
      </c>
      <c r="F684" s="18"/>
      <c r="G684" s="18"/>
      <c r="H684" s="17"/>
    </row>
    <row r="685" spans="1:8" s="3" customFormat="1" ht="12">
      <c r="A685" s="41">
        <f t="shared" si="10"/>
        <v>2</v>
      </c>
      <c r="B685" s="41" t="s">
        <v>1386</v>
      </c>
      <c r="C685" s="1" t="s">
        <v>1396</v>
      </c>
      <c r="D685" s="2" t="s">
        <v>1398</v>
      </c>
      <c r="E685" s="26" t="s">
        <v>1174</v>
      </c>
      <c r="F685" s="19">
        <v>0</v>
      </c>
      <c r="G685" s="19"/>
      <c r="H685" s="17">
        <f>ROUND((P_2_56.g Qté)*(P_2_56.g PU),2)</f>
        <v>0</v>
      </c>
    </row>
    <row r="686" spans="1:8" s="3" customFormat="1" ht="12">
      <c r="A686" s="41">
        <f t="shared" si="10"/>
        <v>2</v>
      </c>
      <c r="B686" s="41" t="s">
        <v>1386</v>
      </c>
      <c r="C686" s="1" t="s">
        <v>1397</v>
      </c>
      <c r="D686" s="2" t="s">
        <v>1399</v>
      </c>
      <c r="E686" s="26" t="s">
        <v>1174</v>
      </c>
      <c r="F686" s="19">
        <v>0</v>
      </c>
      <c r="G686" s="19"/>
      <c r="H686" s="17">
        <f>ROUND((P_2_56.h Qté)*(P_2_56.h PU),2)</f>
        <v>0</v>
      </c>
    </row>
    <row r="687" spans="1:8" s="40" customFormat="1" ht="24">
      <c r="A687" s="39">
        <f>A684</f>
        <v>2</v>
      </c>
      <c r="B687" s="39" t="s">
        <v>1385</v>
      </c>
      <c r="C687" s="7" t="s">
        <v>962</v>
      </c>
      <c r="D687" s="8" t="s">
        <v>1304</v>
      </c>
      <c r="E687" s="25" t="s">
        <v>1127</v>
      </c>
      <c r="F687" s="18"/>
      <c r="G687" s="18"/>
      <c r="H687" s="17"/>
    </row>
    <row r="688" spans="1:8" s="40" customFormat="1" ht="36">
      <c r="A688" s="39">
        <f aca="true" t="shared" si="11" ref="A688:A751">A687</f>
        <v>2</v>
      </c>
      <c r="B688" s="39" t="s">
        <v>1385</v>
      </c>
      <c r="C688" s="7" t="s">
        <v>1127</v>
      </c>
      <c r="D688" s="8" t="s">
        <v>1305</v>
      </c>
      <c r="E688" s="25" t="s">
        <v>1127</v>
      </c>
      <c r="F688" s="18"/>
      <c r="G688" s="18"/>
      <c r="H688" s="17"/>
    </row>
    <row r="689" spans="1:8" s="40" customFormat="1" ht="24">
      <c r="A689" s="39">
        <f t="shared" si="11"/>
        <v>2</v>
      </c>
      <c r="B689" s="39" t="s">
        <v>1385</v>
      </c>
      <c r="C689" s="7" t="s">
        <v>1127</v>
      </c>
      <c r="D689" s="8" t="s">
        <v>204</v>
      </c>
      <c r="E689" s="25" t="s">
        <v>1127</v>
      </c>
      <c r="F689" s="18"/>
      <c r="G689" s="18"/>
      <c r="H689" s="17"/>
    </row>
    <row r="690" spans="1:8" s="40" customFormat="1" ht="24">
      <c r="A690" s="39">
        <f t="shared" si="11"/>
        <v>2</v>
      </c>
      <c r="B690" s="39" t="s">
        <v>1385</v>
      </c>
      <c r="C690" s="7" t="s">
        <v>1127</v>
      </c>
      <c r="D690" s="8" t="s">
        <v>205</v>
      </c>
      <c r="E690" s="25" t="s">
        <v>1127</v>
      </c>
      <c r="F690" s="18"/>
      <c r="G690" s="18"/>
      <c r="H690" s="17"/>
    </row>
    <row r="691" spans="1:8" s="40" customFormat="1" ht="12">
      <c r="A691" s="39">
        <f t="shared" si="11"/>
        <v>2</v>
      </c>
      <c r="B691" s="39" t="s">
        <v>1385</v>
      </c>
      <c r="C691" s="7" t="s">
        <v>1127</v>
      </c>
      <c r="D691" s="8" t="s">
        <v>206</v>
      </c>
      <c r="E691" s="25" t="s">
        <v>1127</v>
      </c>
      <c r="F691" s="18"/>
      <c r="G691" s="18"/>
      <c r="H691" s="17"/>
    </row>
    <row r="692" spans="1:8" s="40" customFormat="1" ht="24">
      <c r="A692" s="39">
        <f t="shared" si="11"/>
        <v>2</v>
      </c>
      <c r="B692" s="39" t="s">
        <v>1385</v>
      </c>
      <c r="C692" s="7" t="s">
        <v>1127</v>
      </c>
      <c r="D692" s="8" t="s">
        <v>161</v>
      </c>
      <c r="E692" s="25" t="s">
        <v>1127</v>
      </c>
      <c r="F692" s="18"/>
      <c r="G692" s="18"/>
      <c r="H692" s="17"/>
    </row>
    <row r="693" spans="1:8" s="40" customFormat="1" ht="24">
      <c r="A693" s="39">
        <f t="shared" si="11"/>
        <v>2</v>
      </c>
      <c r="B693" s="39" t="s">
        <v>1385</v>
      </c>
      <c r="C693" s="7" t="s">
        <v>1127</v>
      </c>
      <c r="D693" s="8" t="s">
        <v>207</v>
      </c>
      <c r="E693" s="25" t="s">
        <v>1127</v>
      </c>
      <c r="F693" s="18"/>
      <c r="G693" s="18"/>
      <c r="H693" s="17"/>
    </row>
    <row r="694" spans="1:8" s="40" customFormat="1" ht="24">
      <c r="A694" s="39">
        <f t="shared" si="11"/>
        <v>2</v>
      </c>
      <c r="B694" s="39" t="s">
        <v>1385</v>
      </c>
      <c r="C694" s="7" t="s">
        <v>1127</v>
      </c>
      <c r="D694" s="8" t="s">
        <v>208</v>
      </c>
      <c r="E694" s="25" t="s">
        <v>1127</v>
      </c>
      <c r="F694" s="18"/>
      <c r="G694" s="18"/>
      <c r="H694" s="17"/>
    </row>
    <row r="695" spans="1:8" s="40" customFormat="1" ht="12">
      <c r="A695" s="39">
        <f t="shared" si="11"/>
        <v>2</v>
      </c>
      <c r="B695" s="39" t="s">
        <v>1385</v>
      </c>
      <c r="C695" s="7" t="s">
        <v>1127</v>
      </c>
      <c r="D695" s="8" t="s">
        <v>209</v>
      </c>
      <c r="E695" s="25" t="s">
        <v>1127</v>
      </c>
      <c r="F695" s="18"/>
      <c r="G695" s="18"/>
      <c r="H695" s="17"/>
    </row>
    <row r="696" spans="1:8" s="40" customFormat="1" ht="24">
      <c r="A696" s="39">
        <f t="shared" si="11"/>
        <v>2</v>
      </c>
      <c r="B696" s="39" t="s">
        <v>1385</v>
      </c>
      <c r="C696" s="7" t="s">
        <v>1127</v>
      </c>
      <c r="D696" s="8" t="s">
        <v>210</v>
      </c>
      <c r="E696" s="25" t="s">
        <v>1127</v>
      </c>
      <c r="F696" s="18"/>
      <c r="G696" s="18"/>
      <c r="H696" s="17"/>
    </row>
    <row r="697" spans="1:8" s="40" customFormat="1" ht="24">
      <c r="A697" s="39">
        <f t="shared" si="11"/>
        <v>2</v>
      </c>
      <c r="B697" s="39" t="s">
        <v>1385</v>
      </c>
      <c r="C697" s="7" t="s">
        <v>1127</v>
      </c>
      <c r="D697" s="8" t="s">
        <v>211</v>
      </c>
      <c r="E697" s="25" t="s">
        <v>1127</v>
      </c>
      <c r="F697" s="18"/>
      <c r="G697" s="18"/>
      <c r="H697" s="17"/>
    </row>
    <row r="698" spans="1:8" s="40" customFormat="1" ht="12">
      <c r="A698" s="39">
        <f t="shared" si="11"/>
        <v>2</v>
      </c>
      <c r="B698" s="39" t="s">
        <v>1385</v>
      </c>
      <c r="C698" s="7" t="s">
        <v>1127</v>
      </c>
      <c r="D698" s="8" t="s">
        <v>197</v>
      </c>
      <c r="E698" s="25" t="s">
        <v>1127</v>
      </c>
      <c r="F698" s="18"/>
      <c r="G698" s="18"/>
      <c r="H698" s="17"/>
    </row>
    <row r="699" spans="1:8" s="3" customFormat="1" ht="12">
      <c r="A699" s="41">
        <f t="shared" si="11"/>
        <v>2</v>
      </c>
      <c r="B699" s="41" t="s">
        <v>1386</v>
      </c>
      <c r="C699" s="1" t="s">
        <v>1691</v>
      </c>
      <c r="D699" s="2" t="s">
        <v>212</v>
      </c>
      <c r="E699" s="26" t="s">
        <v>1206</v>
      </c>
      <c r="F699" s="19">
        <v>0</v>
      </c>
      <c r="G699" s="19"/>
      <c r="H699" s="17">
        <f>ROUND((P_2_57.a Qté)*(P_2_57.a PU),2)</f>
        <v>0</v>
      </c>
    </row>
    <row r="700" spans="1:8" s="3" customFormat="1" ht="12">
      <c r="A700" s="41">
        <f t="shared" si="11"/>
        <v>2</v>
      </c>
      <c r="B700" s="41" t="s">
        <v>1386</v>
      </c>
      <c r="C700" s="1" t="s">
        <v>1692</v>
      </c>
      <c r="D700" s="2" t="s">
        <v>213</v>
      </c>
      <c r="E700" s="26" t="s">
        <v>1206</v>
      </c>
      <c r="F700" s="19">
        <v>0</v>
      </c>
      <c r="G700" s="19"/>
      <c r="H700" s="17">
        <f>ROUND((P_2_57.b Qté)*(P_2_57.b PU),2)</f>
        <v>0</v>
      </c>
    </row>
    <row r="701" spans="1:8" s="3" customFormat="1" ht="12">
      <c r="A701" s="41">
        <f t="shared" si="11"/>
        <v>2</v>
      </c>
      <c r="B701" s="41" t="s">
        <v>1386</v>
      </c>
      <c r="C701" s="1" t="s">
        <v>1693</v>
      </c>
      <c r="D701" s="2" t="s">
        <v>214</v>
      </c>
      <c r="E701" s="26" t="s">
        <v>1206</v>
      </c>
      <c r="F701" s="19">
        <v>0</v>
      </c>
      <c r="G701" s="19"/>
      <c r="H701" s="17">
        <f>ROUND((P_2_57.c Qté)*(P_2_57.c PU),2)</f>
        <v>0</v>
      </c>
    </row>
    <row r="702" spans="1:8" s="3" customFormat="1" ht="12">
      <c r="A702" s="41">
        <f t="shared" si="11"/>
        <v>2</v>
      </c>
      <c r="B702" s="41" t="s">
        <v>1386</v>
      </c>
      <c r="C702" s="1" t="s">
        <v>1694</v>
      </c>
      <c r="D702" s="2" t="s">
        <v>215</v>
      </c>
      <c r="E702" s="26" t="s">
        <v>1206</v>
      </c>
      <c r="F702" s="19">
        <v>0</v>
      </c>
      <c r="G702" s="19"/>
      <c r="H702" s="17">
        <f>ROUND((P_2_57.d Qté)*(P_2_57.d PU),2)</f>
        <v>0</v>
      </c>
    </row>
    <row r="703" spans="1:8" s="3" customFormat="1" ht="12">
      <c r="A703" s="41">
        <f t="shared" si="11"/>
        <v>2</v>
      </c>
      <c r="B703" s="41" t="s">
        <v>1386</v>
      </c>
      <c r="C703" s="1" t="s">
        <v>1695</v>
      </c>
      <c r="D703" s="2" t="s">
        <v>216</v>
      </c>
      <c r="E703" s="26" t="s">
        <v>1206</v>
      </c>
      <c r="F703" s="19">
        <v>0</v>
      </c>
      <c r="G703" s="19"/>
      <c r="H703" s="17">
        <f>ROUND((P_2_57.e Qté)*(P_2_57.e PU),2)</f>
        <v>0</v>
      </c>
    </row>
    <row r="704" spans="1:8" s="3" customFormat="1" ht="12">
      <c r="A704" s="41">
        <f t="shared" si="11"/>
        <v>2</v>
      </c>
      <c r="B704" s="41" t="s">
        <v>1386</v>
      </c>
      <c r="C704" s="1" t="s">
        <v>1696</v>
      </c>
      <c r="D704" s="2" t="s">
        <v>217</v>
      </c>
      <c r="E704" s="26" t="s">
        <v>1206</v>
      </c>
      <c r="F704" s="19">
        <v>0</v>
      </c>
      <c r="G704" s="19"/>
      <c r="H704" s="17">
        <f>ROUND((P_2_57.f Qté)*(P_2_57.f PU),2)</f>
        <v>0</v>
      </c>
    </row>
    <row r="705" spans="1:8" s="3" customFormat="1" ht="12">
      <c r="A705" s="41">
        <f t="shared" si="11"/>
        <v>2</v>
      </c>
      <c r="B705" s="41" t="s">
        <v>1386</v>
      </c>
      <c r="C705" s="1" t="s">
        <v>1697</v>
      </c>
      <c r="D705" s="2" t="s">
        <v>218</v>
      </c>
      <c r="E705" s="26" t="s">
        <v>1206</v>
      </c>
      <c r="F705" s="19">
        <v>0</v>
      </c>
      <c r="G705" s="19"/>
      <c r="H705" s="17">
        <f>ROUND((P_2_57.g Qté)*(P_2_57.g PU),2)</f>
        <v>0</v>
      </c>
    </row>
    <row r="706" spans="1:8" s="40" customFormat="1" ht="24">
      <c r="A706" s="39">
        <f t="shared" si="11"/>
        <v>2</v>
      </c>
      <c r="B706" s="39" t="s">
        <v>1385</v>
      </c>
      <c r="C706" s="7" t="s">
        <v>963</v>
      </c>
      <c r="D706" s="8" t="s">
        <v>1306</v>
      </c>
      <c r="E706" s="25" t="s">
        <v>1127</v>
      </c>
      <c r="F706" s="18"/>
      <c r="G706" s="18"/>
      <c r="H706" s="17"/>
    </row>
    <row r="707" spans="1:8" s="40" customFormat="1" ht="24">
      <c r="A707" s="39">
        <f t="shared" si="11"/>
        <v>2</v>
      </c>
      <c r="B707" s="39" t="s">
        <v>1385</v>
      </c>
      <c r="C707" s="7" t="s">
        <v>1127</v>
      </c>
      <c r="D707" s="8" t="s">
        <v>1307</v>
      </c>
      <c r="E707" s="25" t="s">
        <v>1127</v>
      </c>
      <c r="F707" s="18"/>
      <c r="G707" s="18"/>
      <c r="H707" s="17"/>
    </row>
    <row r="708" spans="1:8" s="40" customFormat="1" ht="12">
      <c r="A708" s="39">
        <f t="shared" si="11"/>
        <v>2</v>
      </c>
      <c r="B708" s="39" t="s">
        <v>1385</v>
      </c>
      <c r="C708" s="7" t="s">
        <v>1127</v>
      </c>
      <c r="D708" s="8" t="s">
        <v>219</v>
      </c>
      <c r="E708" s="25" t="s">
        <v>1127</v>
      </c>
      <c r="F708" s="18"/>
      <c r="G708" s="18"/>
      <c r="H708" s="17"/>
    </row>
    <row r="709" spans="1:8" s="40" customFormat="1" ht="12">
      <c r="A709" s="39">
        <f t="shared" si="11"/>
        <v>2</v>
      </c>
      <c r="B709" s="39" t="s">
        <v>1385</v>
      </c>
      <c r="C709" s="7" t="s">
        <v>1127</v>
      </c>
      <c r="D709" s="8" t="s">
        <v>220</v>
      </c>
      <c r="E709" s="25" t="s">
        <v>1127</v>
      </c>
      <c r="F709" s="18"/>
      <c r="G709" s="18"/>
      <c r="H709" s="17"/>
    </row>
    <row r="710" spans="1:8" s="40" customFormat="1" ht="24">
      <c r="A710" s="39">
        <f t="shared" si="11"/>
        <v>2</v>
      </c>
      <c r="B710" s="39" t="s">
        <v>1385</v>
      </c>
      <c r="C710" s="7" t="s">
        <v>1127</v>
      </c>
      <c r="D710" s="8" t="s">
        <v>208</v>
      </c>
      <c r="E710" s="25" t="s">
        <v>1127</v>
      </c>
      <c r="F710" s="18"/>
      <c r="G710" s="18"/>
      <c r="H710" s="17"/>
    </row>
    <row r="711" spans="1:8" s="40" customFormat="1" ht="12">
      <c r="A711" s="39">
        <f t="shared" si="11"/>
        <v>2</v>
      </c>
      <c r="B711" s="39" t="s">
        <v>1385</v>
      </c>
      <c r="C711" s="7" t="s">
        <v>1127</v>
      </c>
      <c r="D711" s="8" t="s">
        <v>209</v>
      </c>
      <c r="E711" s="25" t="s">
        <v>1127</v>
      </c>
      <c r="F711" s="18"/>
      <c r="G711" s="18"/>
      <c r="H711" s="17"/>
    </row>
    <row r="712" spans="1:8" s="40" customFormat="1" ht="24">
      <c r="A712" s="39">
        <f t="shared" si="11"/>
        <v>2</v>
      </c>
      <c r="B712" s="39" t="s">
        <v>1385</v>
      </c>
      <c r="C712" s="7" t="s">
        <v>1127</v>
      </c>
      <c r="D712" s="8" t="s">
        <v>221</v>
      </c>
      <c r="E712" s="25" t="s">
        <v>1127</v>
      </c>
      <c r="F712" s="18"/>
      <c r="G712" s="18"/>
      <c r="H712" s="17"/>
    </row>
    <row r="713" spans="1:8" s="40" customFormat="1" ht="12">
      <c r="A713" s="39">
        <f t="shared" si="11"/>
        <v>2</v>
      </c>
      <c r="B713" s="39" t="s">
        <v>1385</v>
      </c>
      <c r="C713" s="7" t="s">
        <v>1127</v>
      </c>
      <c r="D713" s="8" t="s">
        <v>197</v>
      </c>
      <c r="E713" s="25" t="s">
        <v>1127</v>
      </c>
      <c r="F713" s="18"/>
      <c r="G713" s="18"/>
      <c r="H713" s="17"/>
    </row>
    <row r="714" spans="1:8" s="3" customFormat="1" ht="12">
      <c r="A714" s="41">
        <f t="shared" si="11"/>
        <v>2</v>
      </c>
      <c r="B714" s="41" t="s">
        <v>1386</v>
      </c>
      <c r="C714" s="1" t="s">
        <v>1698</v>
      </c>
      <c r="D714" s="2" t="s">
        <v>222</v>
      </c>
      <c r="E714" s="26" t="s">
        <v>1206</v>
      </c>
      <c r="F714" s="19">
        <v>0</v>
      </c>
      <c r="G714" s="19"/>
      <c r="H714" s="17">
        <f>ROUND((P_2_58.a Qté)*(P_2_58.a PU),2)</f>
        <v>0</v>
      </c>
    </row>
    <row r="715" spans="1:8" s="3" customFormat="1" ht="12">
      <c r="A715" s="41">
        <f t="shared" si="11"/>
        <v>2</v>
      </c>
      <c r="B715" s="41" t="s">
        <v>1386</v>
      </c>
      <c r="C715" s="1" t="s">
        <v>1699</v>
      </c>
      <c r="D715" s="2" t="s">
        <v>223</v>
      </c>
      <c r="E715" s="26" t="s">
        <v>1206</v>
      </c>
      <c r="F715" s="19">
        <v>0</v>
      </c>
      <c r="G715" s="19"/>
      <c r="H715" s="17">
        <f>ROUND((P_2_58.b Qté)*(P_2_58.b PU),2)</f>
        <v>0</v>
      </c>
    </row>
    <row r="716" spans="1:8" s="3" customFormat="1" ht="12">
      <c r="A716" s="41">
        <f t="shared" si="11"/>
        <v>2</v>
      </c>
      <c r="B716" s="41" t="s">
        <v>1386</v>
      </c>
      <c r="C716" s="1" t="s">
        <v>1700</v>
      </c>
      <c r="D716" s="2" t="s">
        <v>224</v>
      </c>
      <c r="E716" s="26" t="s">
        <v>1206</v>
      </c>
      <c r="F716" s="19">
        <v>0</v>
      </c>
      <c r="G716" s="19"/>
      <c r="H716" s="17">
        <f>ROUND((P_2_58.c Qté)*(P_2_58.c PU),2)</f>
        <v>0</v>
      </c>
    </row>
    <row r="717" spans="1:8" s="3" customFormat="1" ht="12">
      <c r="A717" s="41">
        <f t="shared" si="11"/>
        <v>2</v>
      </c>
      <c r="B717" s="41" t="s">
        <v>1386</v>
      </c>
      <c r="C717" s="1" t="s">
        <v>1701</v>
      </c>
      <c r="D717" s="2" t="s">
        <v>225</v>
      </c>
      <c r="E717" s="26" t="s">
        <v>1206</v>
      </c>
      <c r="F717" s="19">
        <v>0</v>
      </c>
      <c r="G717" s="19"/>
      <c r="H717" s="17">
        <f>ROUND((P_2_58.d Qté)*(P_2_58.d PU),2)</f>
        <v>0</v>
      </c>
    </row>
    <row r="718" spans="1:8" s="40" customFormat="1" ht="36">
      <c r="A718" s="39">
        <f t="shared" si="11"/>
        <v>2</v>
      </c>
      <c r="B718" s="39" t="s">
        <v>1385</v>
      </c>
      <c r="C718" s="7" t="s">
        <v>964</v>
      </c>
      <c r="D718" s="8" t="s">
        <v>1308</v>
      </c>
      <c r="E718" s="25" t="s">
        <v>1127</v>
      </c>
      <c r="F718" s="18"/>
      <c r="G718" s="18"/>
      <c r="H718" s="17"/>
    </row>
    <row r="719" spans="1:8" s="40" customFormat="1" ht="36">
      <c r="A719" s="39">
        <f t="shared" si="11"/>
        <v>2</v>
      </c>
      <c r="B719" s="39" t="s">
        <v>1385</v>
      </c>
      <c r="C719" s="7" t="s">
        <v>1127</v>
      </c>
      <c r="D719" s="8" t="s">
        <v>1309</v>
      </c>
      <c r="E719" s="25" t="s">
        <v>1127</v>
      </c>
      <c r="F719" s="18"/>
      <c r="G719" s="18"/>
      <c r="H719" s="17"/>
    </row>
    <row r="720" spans="1:8" s="40" customFormat="1" ht="12">
      <c r="A720" s="39">
        <f t="shared" si="11"/>
        <v>2</v>
      </c>
      <c r="B720" s="39" t="s">
        <v>1385</v>
      </c>
      <c r="C720" s="7" t="s">
        <v>1127</v>
      </c>
      <c r="D720" s="8" t="s">
        <v>226</v>
      </c>
      <c r="E720" s="25" t="s">
        <v>1127</v>
      </c>
      <c r="F720" s="18"/>
      <c r="G720" s="18"/>
      <c r="H720" s="17"/>
    </row>
    <row r="721" spans="1:8" s="40" customFormat="1" ht="36">
      <c r="A721" s="39">
        <f t="shared" si="11"/>
        <v>2</v>
      </c>
      <c r="B721" s="39" t="s">
        <v>1385</v>
      </c>
      <c r="C721" s="7" t="s">
        <v>1127</v>
      </c>
      <c r="D721" s="8" t="s">
        <v>227</v>
      </c>
      <c r="E721" s="25" t="s">
        <v>1127</v>
      </c>
      <c r="F721" s="18"/>
      <c r="G721" s="18"/>
      <c r="H721" s="17"/>
    </row>
    <row r="722" spans="1:8" s="40" customFormat="1" ht="12">
      <c r="A722" s="39">
        <f t="shared" si="11"/>
        <v>2</v>
      </c>
      <c r="B722" s="39" t="s">
        <v>1385</v>
      </c>
      <c r="C722" s="7" t="s">
        <v>1127</v>
      </c>
      <c r="D722" s="8" t="s">
        <v>228</v>
      </c>
      <c r="E722" s="25" t="s">
        <v>1127</v>
      </c>
      <c r="F722" s="18"/>
      <c r="G722" s="18"/>
      <c r="H722" s="17"/>
    </row>
    <row r="723" spans="1:8" s="40" customFormat="1" ht="12">
      <c r="A723" s="39">
        <f t="shared" si="11"/>
        <v>2</v>
      </c>
      <c r="B723" s="39" t="s">
        <v>1385</v>
      </c>
      <c r="C723" s="7" t="s">
        <v>1127</v>
      </c>
      <c r="D723" s="8" t="s">
        <v>197</v>
      </c>
      <c r="E723" s="25" t="s">
        <v>1127</v>
      </c>
      <c r="F723" s="18"/>
      <c r="G723" s="18"/>
      <c r="H723" s="17"/>
    </row>
    <row r="724" spans="1:8" s="3" customFormat="1" ht="24">
      <c r="A724" s="41">
        <f t="shared" si="11"/>
        <v>2</v>
      </c>
      <c r="B724" s="41" t="s">
        <v>1386</v>
      </c>
      <c r="C724" s="1" t="s">
        <v>1702</v>
      </c>
      <c r="D724" s="2" t="s">
        <v>229</v>
      </c>
      <c r="E724" s="26" t="s">
        <v>1213</v>
      </c>
      <c r="F724" s="19">
        <v>0</v>
      </c>
      <c r="G724" s="19"/>
      <c r="H724" s="17">
        <f>ROUND((P_2_59.a Qté)*(P_2_59.a PU),2)</f>
        <v>0</v>
      </c>
    </row>
    <row r="725" spans="1:8" s="3" customFormat="1" ht="24">
      <c r="A725" s="41">
        <f t="shared" si="11"/>
        <v>2</v>
      </c>
      <c r="B725" s="41" t="s">
        <v>1386</v>
      </c>
      <c r="C725" s="1" t="s">
        <v>1703</v>
      </c>
      <c r="D725" s="2" t="s">
        <v>230</v>
      </c>
      <c r="E725" s="26" t="s">
        <v>1213</v>
      </c>
      <c r="F725" s="19">
        <v>0</v>
      </c>
      <c r="G725" s="19"/>
      <c r="H725" s="17">
        <f>ROUND((P_2_59.b Qté)*(P_2_59.b PU),2)</f>
        <v>0</v>
      </c>
    </row>
    <row r="726" spans="1:8" s="40" customFormat="1" ht="24">
      <c r="A726" s="39">
        <f t="shared" si="11"/>
        <v>2</v>
      </c>
      <c r="B726" s="39" t="s">
        <v>1385</v>
      </c>
      <c r="C726" s="7" t="s">
        <v>965</v>
      </c>
      <c r="D726" s="8" t="s">
        <v>1310</v>
      </c>
      <c r="E726" s="25" t="s">
        <v>1127</v>
      </c>
      <c r="F726" s="18"/>
      <c r="G726" s="18"/>
      <c r="H726" s="17"/>
    </row>
    <row r="727" spans="1:8" s="40" customFormat="1" ht="24">
      <c r="A727" s="39">
        <f t="shared" si="11"/>
        <v>2</v>
      </c>
      <c r="B727" s="39" t="s">
        <v>1385</v>
      </c>
      <c r="C727" s="7" t="s">
        <v>1127</v>
      </c>
      <c r="D727" s="8" t="s">
        <v>1311</v>
      </c>
      <c r="E727" s="25" t="s">
        <v>1127</v>
      </c>
      <c r="F727" s="18"/>
      <c r="G727" s="18"/>
      <c r="H727" s="17"/>
    </row>
    <row r="728" spans="1:8" s="40" customFormat="1" ht="12">
      <c r="A728" s="39">
        <f t="shared" si="11"/>
        <v>2</v>
      </c>
      <c r="B728" s="39" t="s">
        <v>1385</v>
      </c>
      <c r="C728" s="7" t="s">
        <v>1127</v>
      </c>
      <c r="D728" s="8" t="s">
        <v>231</v>
      </c>
      <c r="E728" s="25" t="s">
        <v>1127</v>
      </c>
      <c r="F728" s="18"/>
      <c r="G728" s="18"/>
      <c r="H728" s="17"/>
    </row>
    <row r="729" spans="1:8" s="40" customFormat="1" ht="24">
      <c r="A729" s="39">
        <f t="shared" si="11"/>
        <v>2</v>
      </c>
      <c r="B729" s="39" t="s">
        <v>1385</v>
      </c>
      <c r="C729" s="7" t="s">
        <v>1127</v>
      </c>
      <c r="D729" s="8" t="s">
        <v>232</v>
      </c>
      <c r="E729" s="25" t="s">
        <v>1127</v>
      </c>
      <c r="F729" s="18"/>
      <c r="G729" s="18"/>
      <c r="H729" s="17"/>
    </row>
    <row r="730" spans="1:8" s="40" customFormat="1" ht="24">
      <c r="A730" s="39">
        <f t="shared" si="11"/>
        <v>2</v>
      </c>
      <c r="B730" s="39" t="s">
        <v>1385</v>
      </c>
      <c r="C730" s="7" t="s">
        <v>1127</v>
      </c>
      <c r="D730" s="8" t="s">
        <v>233</v>
      </c>
      <c r="E730" s="25" t="s">
        <v>1127</v>
      </c>
      <c r="F730" s="18"/>
      <c r="G730" s="18"/>
      <c r="H730" s="17"/>
    </row>
    <row r="731" spans="1:8" s="40" customFormat="1" ht="12">
      <c r="A731" s="39">
        <f t="shared" si="11"/>
        <v>2</v>
      </c>
      <c r="B731" s="39" t="s">
        <v>1385</v>
      </c>
      <c r="C731" s="7" t="s">
        <v>1127</v>
      </c>
      <c r="D731" s="8" t="s">
        <v>226</v>
      </c>
      <c r="E731" s="25" t="s">
        <v>1127</v>
      </c>
      <c r="F731" s="18"/>
      <c r="G731" s="18"/>
      <c r="H731" s="17"/>
    </row>
    <row r="732" spans="1:8" s="40" customFormat="1" ht="12">
      <c r="A732" s="39">
        <f t="shared" si="11"/>
        <v>2</v>
      </c>
      <c r="B732" s="39" t="s">
        <v>1385</v>
      </c>
      <c r="C732" s="7" t="s">
        <v>1127</v>
      </c>
      <c r="D732" s="8" t="s">
        <v>234</v>
      </c>
      <c r="E732" s="25" t="s">
        <v>1127</v>
      </c>
      <c r="F732" s="18"/>
      <c r="G732" s="18"/>
      <c r="H732" s="17"/>
    </row>
    <row r="733" spans="1:8" s="40" customFormat="1" ht="24">
      <c r="A733" s="39">
        <f t="shared" si="11"/>
        <v>2</v>
      </c>
      <c r="B733" s="39" t="s">
        <v>1385</v>
      </c>
      <c r="C733" s="7" t="s">
        <v>1127</v>
      </c>
      <c r="D733" s="8" t="s">
        <v>235</v>
      </c>
      <c r="E733" s="25" t="s">
        <v>1127</v>
      </c>
      <c r="F733" s="18"/>
      <c r="G733" s="18"/>
      <c r="H733" s="17"/>
    </row>
    <row r="734" spans="1:8" s="40" customFormat="1" ht="24">
      <c r="A734" s="39">
        <f t="shared" si="11"/>
        <v>2</v>
      </c>
      <c r="B734" s="39" t="s">
        <v>1385</v>
      </c>
      <c r="C734" s="7" t="s">
        <v>1127</v>
      </c>
      <c r="D734" s="8" t="s">
        <v>236</v>
      </c>
      <c r="E734" s="25" t="s">
        <v>1127</v>
      </c>
      <c r="F734" s="18"/>
      <c r="G734" s="18"/>
      <c r="H734" s="17"/>
    </row>
    <row r="735" spans="1:8" s="40" customFormat="1" ht="12">
      <c r="A735" s="39">
        <f t="shared" si="11"/>
        <v>2</v>
      </c>
      <c r="B735" s="39" t="s">
        <v>1385</v>
      </c>
      <c r="C735" s="7" t="s">
        <v>1127</v>
      </c>
      <c r="D735" s="8" t="s">
        <v>197</v>
      </c>
      <c r="E735" s="25" t="s">
        <v>1127</v>
      </c>
      <c r="F735" s="18"/>
      <c r="G735" s="18"/>
      <c r="H735" s="17"/>
    </row>
    <row r="736" spans="1:8" s="40" customFormat="1" ht="12">
      <c r="A736" s="39">
        <f t="shared" si="11"/>
        <v>2</v>
      </c>
      <c r="B736" s="39" t="s">
        <v>1385</v>
      </c>
      <c r="C736" s="7" t="s">
        <v>1127</v>
      </c>
      <c r="D736" s="8" t="s">
        <v>1312</v>
      </c>
      <c r="E736" s="25" t="s">
        <v>1127</v>
      </c>
      <c r="F736" s="18"/>
      <c r="G736" s="18"/>
      <c r="H736" s="17"/>
    </row>
    <row r="737" spans="1:8" s="3" customFormat="1" ht="12">
      <c r="A737" s="41">
        <f t="shared" si="11"/>
        <v>2</v>
      </c>
      <c r="B737" s="41" t="s">
        <v>1386</v>
      </c>
      <c r="C737" s="1" t="s">
        <v>1704</v>
      </c>
      <c r="D737" s="2" t="s">
        <v>237</v>
      </c>
      <c r="E737" s="26" t="s">
        <v>1216</v>
      </c>
      <c r="F737" s="19">
        <v>0</v>
      </c>
      <c r="G737" s="19"/>
      <c r="H737" s="17">
        <f>ROUND((P_2_60.a Qté)*(P_2_60.a PU),2)</f>
        <v>0</v>
      </c>
    </row>
    <row r="738" spans="1:8" s="3" customFormat="1" ht="12">
      <c r="A738" s="41">
        <f t="shared" si="11"/>
        <v>2</v>
      </c>
      <c r="B738" s="41" t="s">
        <v>1386</v>
      </c>
      <c r="C738" s="1" t="s">
        <v>1705</v>
      </c>
      <c r="D738" s="2" t="s">
        <v>238</v>
      </c>
      <c r="E738" s="26" t="s">
        <v>1216</v>
      </c>
      <c r="F738" s="19">
        <v>0</v>
      </c>
      <c r="G738" s="19"/>
      <c r="H738" s="17">
        <f>ROUND((P_2_60.b Qté)*(P_2_60.b PU),2)</f>
        <v>0</v>
      </c>
    </row>
    <row r="739" spans="1:8" s="40" customFormat="1" ht="12">
      <c r="A739" s="39">
        <f t="shared" si="11"/>
        <v>2</v>
      </c>
      <c r="B739" s="39" t="s">
        <v>1385</v>
      </c>
      <c r="C739" s="7" t="s">
        <v>1127</v>
      </c>
      <c r="D739" s="8" t="s">
        <v>1313</v>
      </c>
      <c r="E739" s="25" t="s">
        <v>1127</v>
      </c>
      <c r="F739" s="18"/>
      <c r="G739" s="18"/>
      <c r="H739" s="17"/>
    </row>
    <row r="740" spans="1:8" s="3" customFormat="1" ht="12">
      <c r="A740" s="41">
        <f t="shared" si="11"/>
        <v>2</v>
      </c>
      <c r="B740" s="41" t="s">
        <v>1386</v>
      </c>
      <c r="C740" s="1" t="s">
        <v>1706</v>
      </c>
      <c r="D740" s="2" t="s">
        <v>239</v>
      </c>
      <c r="E740" s="26" t="s">
        <v>1216</v>
      </c>
      <c r="F740" s="19">
        <v>0</v>
      </c>
      <c r="G740" s="19"/>
      <c r="H740" s="17">
        <f>ROUND((P_2_60.c Qté)*(P_2_60.c PU),2)</f>
        <v>0</v>
      </c>
    </row>
    <row r="741" spans="1:8" s="3" customFormat="1" ht="36">
      <c r="A741" s="41">
        <f t="shared" si="11"/>
        <v>2</v>
      </c>
      <c r="B741" s="41" t="s">
        <v>1386</v>
      </c>
      <c r="C741" s="1" t="s">
        <v>966</v>
      </c>
      <c r="D741" s="2" t="s">
        <v>1707</v>
      </c>
      <c r="E741" s="26" t="s">
        <v>1216</v>
      </c>
      <c r="F741" s="19">
        <v>0</v>
      </c>
      <c r="G741" s="19"/>
      <c r="H741" s="17">
        <f>ROUND((P_2_61 Qté)*(P_2_61 PU),2)</f>
        <v>0</v>
      </c>
    </row>
    <row r="742" spans="1:8" s="40" customFormat="1" ht="24">
      <c r="A742" s="39">
        <f t="shared" si="11"/>
        <v>2</v>
      </c>
      <c r="B742" s="39" t="s">
        <v>1385</v>
      </c>
      <c r="C742" s="7" t="s">
        <v>967</v>
      </c>
      <c r="D742" s="8" t="s">
        <v>1863</v>
      </c>
      <c r="E742" s="25" t="s">
        <v>1127</v>
      </c>
      <c r="F742" s="18"/>
      <c r="G742" s="18"/>
      <c r="H742" s="17"/>
    </row>
    <row r="743" spans="1:8" s="40" customFormat="1" ht="48">
      <c r="A743" s="39">
        <f t="shared" si="11"/>
        <v>2</v>
      </c>
      <c r="B743" s="39" t="s">
        <v>1385</v>
      </c>
      <c r="C743" s="7" t="s">
        <v>1127</v>
      </c>
      <c r="D743" s="8" t="s">
        <v>1314</v>
      </c>
      <c r="E743" s="25" t="s">
        <v>1127</v>
      </c>
      <c r="F743" s="18"/>
      <c r="G743" s="18"/>
      <c r="H743" s="17"/>
    </row>
    <row r="744" spans="1:8" s="40" customFormat="1" ht="24">
      <c r="A744" s="39">
        <f t="shared" si="11"/>
        <v>2</v>
      </c>
      <c r="B744" s="39" t="s">
        <v>1385</v>
      </c>
      <c r="C744" s="7" t="s">
        <v>1127</v>
      </c>
      <c r="D744" s="8" t="s">
        <v>240</v>
      </c>
      <c r="E744" s="25" t="s">
        <v>1127</v>
      </c>
      <c r="F744" s="18"/>
      <c r="G744" s="18"/>
      <c r="H744" s="17"/>
    </row>
    <row r="745" spans="1:8" s="40" customFormat="1" ht="12">
      <c r="A745" s="39">
        <f t="shared" si="11"/>
        <v>2</v>
      </c>
      <c r="B745" s="39" t="s">
        <v>1385</v>
      </c>
      <c r="C745" s="7" t="s">
        <v>1127</v>
      </c>
      <c r="D745" s="8" t="s">
        <v>241</v>
      </c>
      <c r="E745" s="25" t="s">
        <v>1127</v>
      </c>
      <c r="F745" s="18"/>
      <c r="G745" s="18"/>
      <c r="H745" s="17"/>
    </row>
    <row r="746" spans="1:8" s="40" customFormat="1" ht="24">
      <c r="A746" s="39">
        <f t="shared" si="11"/>
        <v>2</v>
      </c>
      <c r="B746" s="39" t="s">
        <v>1385</v>
      </c>
      <c r="C746" s="7" t="s">
        <v>1127</v>
      </c>
      <c r="D746" s="8" t="s">
        <v>233</v>
      </c>
      <c r="E746" s="25" t="s">
        <v>1127</v>
      </c>
      <c r="F746" s="18"/>
      <c r="G746" s="18"/>
      <c r="H746" s="17"/>
    </row>
    <row r="747" spans="1:8" s="40" customFormat="1" ht="12">
      <c r="A747" s="39">
        <f t="shared" si="11"/>
        <v>2</v>
      </c>
      <c r="B747" s="39" t="s">
        <v>1385</v>
      </c>
      <c r="C747" s="7" t="s">
        <v>1127</v>
      </c>
      <c r="D747" s="8" t="s">
        <v>234</v>
      </c>
      <c r="E747" s="25" t="s">
        <v>1127</v>
      </c>
      <c r="F747" s="18"/>
      <c r="G747" s="18"/>
      <c r="H747" s="17"/>
    </row>
    <row r="748" spans="1:8" s="40" customFormat="1" ht="36">
      <c r="A748" s="39">
        <f t="shared" si="11"/>
        <v>2</v>
      </c>
      <c r="B748" s="39" t="s">
        <v>1385</v>
      </c>
      <c r="C748" s="7" t="s">
        <v>1127</v>
      </c>
      <c r="D748" s="8" t="s">
        <v>242</v>
      </c>
      <c r="E748" s="25" t="s">
        <v>1127</v>
      </c>
      <c r="F748" s="18"/>
      <c r="G748" s="18"/>
      <c r="H748" s="17"/>
    </row>
    <row r="749" spans="1:8" s="40" customFormat="1" ht="12">
      <c r="A749" s="39">
        <f t="shared" si="11"/>
        <v>2</v>
      </c>
      <c r="B749" s="39" t="s">
        <v>1385</v>
      </c>
      <c r="C749" s="7" t="s">
        <v>1127</v>
      </c>
      <c r="D749" s="8" t="s">
        <v>243</v>
      </c>
      <c r="E749" s="25" t="s">
        <v>1127</v>
      </c>
      <c r="F749" s="18"/>
      <c r="G749" s="18"/>
      <c r="H749" s="17"/>
    </row>
    <row r="750" spans="1:8" s="40" customFormat="1" ht="24">
      <c r="A750" s="39">
        <f t="shared" si="11"/>
        <v>2</v>
      </c>
      <c r="B750" s="39" t="s">
        <v>1385</v>
      </c>
      <c r="C750" s="7" t="s">
        <v>1127</v>
      </c>
      <c r="D750" s="8" t="s">
        <v>236</v>
      </c>
      <c r="E750" s="25" t="s">
        <v>1127</v>
      </c>
      <c r="F750" s="18"/>
      <c r="G750" s="18"/>
      <c r="H750" s="17"/>
    </row>
    <row r="751" spans="1:8" s="40" customFormat="1" ht="12">
      <c r="A751" s="39">
        <f t="shared" si="11"/>
        <v>2</v>
      </c>
      <c r="B751" s="39" t="s">
        <v>1385</v>
      </c>
      <c r="C751" s="7" t="s">
        <v>1127</v>
      </c>
      <c r="D751" s="8" t="s">
        <v>197</v>
      </c>
      <c r="E751" s="25" t="s">
        <v>1127</v>
      </c>
      <c r="F751" s="18"/>
      <c r="G751" s="18"/>
      <c r="H751" s="17"/>
    </row>
    <row r="752" spans="1:8" s="3" customFormat="1" ht="24">
      <c r="A752" s="41">
        <f aca="true" t="shared" si="12" ref="A752:A815">A751</f>
        <v>2</v>
      </c>
      <c r="B752" s="41" t="s">
        <v>1386</v>
      </c>
      <c r="C752" s="1" t="s">
        <v>1708</v>
      </c>
      <c r="D752" s="2" t="s">
        <v>244</v>
      </c>
      <c r="E752" s="26" t="s">
        <v>1174</v>
      </c>
      <c r="F752" s="19">
        <v>0</v>
      </c>
      <c r="G752" s="19"/>
      <c r="H752" s="17">
        <f>ROUND((P_2_62.a Qté)*(P_2_62.a PU),2)</f>
        <v>0</v>
      </c>
    </row>
    <row r="753" spans="1:8" s="3" customFormat="1" ht="24">
      <c r="A753" s="41">
        <f t="shared" si="12"/>
        <v>2</v>
      </c>
      <c r="B753" s="41" t="s">
        <v>1386</v>
      </c>
      <c r="C753" s="1" t="s">
        <v>1709</v>
      </c>
      <c r="D753" s="2" t="s">
        <v>245</v>
      </c>
      <c r="E753" s="26" t="s">
        <v>1174</v>
      </c>
      <c r="F753" s="19">
        <v>0</v>
      </c>
      <c r="G753" s="19"/>
      <c r="H753" s="17">
        <f>ROUND((P_2_62.b Qté)*(P_2_62.b PU),2)</f>
        <v>0</v>
      </c>
    </row>
    <row r="754" spans="1:8" s="3" customFormat="1" ht="24">
      <c r="A754" s="41">
        <f t="shared" si="12"/>
        <v>2</v>
      </c>
      <c r="B754" s="41" t="s">
        <v>1386</v>
      </c>
      <c r="C754" s="1" t="s">
        <v>968</v>
      </c>
      <c r="D754" s="2" t="s">
        <v>1315</v>
      </c>
      <c r="E754" s="26" t="s">
        <v>1213</v>
      </c>
      <c r="F754" s="19">
        <v>0</v>
      </c>
      <c r="G754" s="19"/>
      <c r="H754" s="17">
        <f>ROUND((P_2_63 Qté)*(P_2_63 PU),2)</f>
        <v>0</v>
      </c>
    </row>
    <row r="755" spans="1:8" s="40" customFormat="1" ht="24">
      <c r="A755" s="39">
        <f t="shared" si="12"/>
        <v>2</v>
      </c>
      <c r="B755" s="39" t="s">
        <v>1385</v>
      </c>
      <c r="C755" s="7" t="s">
        <v>1127</v>
      </c>
      <c r="D755" s="8" t="s">
        <v>1316</v>
      </c>
      <c r="E755" s="25" t="s">
        <v>1127</v>
      </c>
      <c r="F755" s="18"/>
      <c r="G755" s="18"/>
      <c r="H755" s="17"/>
    </row>
    <row r="756" spans="1:8" s="40" customFormat="1" ht="48">
      <c r="A756" s="39">
        <f t="shared" si="12"/>
        <v>2</v>
      </c>
      <c r="B756" s="39" t="s">
        <v>1385</v>
      </c>
      <c r="C756" s="7" t="s">
        <v>1127</v>
      </c>
      <c r="D756" s="8" t="s">
        <v>246</v>
      </c>
      <c r="E756" s="25" t="s">
        <v>1127</v>
      </c>
      <c r="F756" s="18"/>
      <c r="G756" s="18"/>
      <c r="H756" s="17"/>
    </row>
    <row r="757" spans="1:8" s="40" customFormat="1" ht="24">
      <c r="A757" s="39">
        <f t="shared" si="12"/>
        <v>2</v>
      </c>
      <c r="B757" s="39" t="s">
        <v>1385</v>
      </c>
      <c r="C757" s="7" t="s">
        <v>1127</v>
      </c>
      <c r="D757" s="8" t="s">
        <v>247</v>
      </c>
      <c r="E757" s="25" t="s">
        <v>1127</v>
      </c>
      <c r="F757" s="18"/>
      <c r="G757" s="18"/>
      <c r="H757" s="17"/>
    </row>
    <row r="758" spans="1:8" s="40" customFormat="1" ht="48">
      <c r="A758" s="39">
        <f t="shared" si="12"/>
        <v>2</v>
      </c>
      <c r="B758" s="39" t="s">
        <v>1385</v>
      </c>
      <c r="C758" s="7" t="s">
        <v>1127</v>
      </c>
      <c r="D758" s="8" t="s">
        <v>248</v>
      </c>
      <c r="E758" s="25" t="s">
        <v>1127</v>
      </c>
      <c r="F758" s="18"/>
      <c r="G758" s="18"/>
      <c r="H758" s="17"/>
    </row>
    <row r="759" spans="1:8" s="40" customFormat="1" ht="12">
      <c r="A759" s="39">
        <f t="shared" si="12"/>
        <v>2</v>
      </c>
      <c r="B759" s="39" t="s">
        <v>1385</v>
      </c>
      <c r="C759" s="7" t="s">
        <v>1127</v>
      </c>
      <c r="D759" s="8" t="s">
        <v>249</v>
      </c>
      <c r="E759" s="25" t="s">
        <v>1127</v>
      </c>
      <c r="F759" s="18"/>
      <c r="G759" s="18"/>
      <c r="H759" s="17"/>
    </row>
    <row r="760" spans="1:8" s="40" customFormat="1" ht="12">
      <c r="A760" s="39">
        <f t="shared" si="12"/>
        <v>2</v>
      </c>
      <c r="B760" s="39" t="s">
        <v>1385</v>
      </c>
      <c r="C760" s="7" t="s">
        <v>1127</v>
      </c>
      <c r="D760" s="8" t="s">
        <v>197</v>
      </c>
      <c r="E760" s="25" t="s">
        <v>1127</v>
      </c>
      <c r="F760" s="18"/>
      <c r="G760" s="18"/>
      <c r="H760" s="17"/>
    </row>
    <row r="761" spans="1:8" s="40" customFormat="1" ht="24">
      <c r="A761" s="39">
        <f t="shared" si="12"/>
        <v>2</v>
      </c>
      <c r="B761" s="39" t="s">
        <v>1385</v>
      </c>
      <c r="C761" s="7" t="s">
        <v>969</v>
      </c>
      <c r="D761" s="8" t="s">
        <v>1317</v>
      </c>
      <c r="E761" s="25" t="s">
        <v>1127</v>
      </c>
      <c r="F761" s="18"/>
      <c r="G761" s="18"/>
      <c r="H761" s="17"/>
    </row>
    <row r="762" spans="1:8" s="40" customFormat="1" ht="36">
      <c r="A762" s="39">
        <f t="shared" si="12"/>
        <v>2</v>
      </c>
      <c r="B762" s="39" t="s">
        <v>1385</v>
      </c>
      <c r="C762" s="7" t="s">
        <v>1127</v>
      </c>
      <c r="D762" s="8" t="s">
        <v>1318</v>
      </c>
      <c r="E762" s="25" t="s">
        <v>1127</v>
      </c>
      <c r="F762" s="18"/>
      <c r="G762" s="18"/>
      <c r="H762" s="17"/>
    </row>
    <row r="763" spans="1:8" s="40" customFormat="1" ht="12">
      <c r="A763" s="39">
        <f t="shared" si="12"/>
        <v>2</v>
      </c>
      <c r="B763" s="39" t="s">
        <v>1385</v>
      </c>
      <c r="C763" s="7" t="s">
        <v>1127</v>
      </c>
      <c r="D763" s="8" t="s">
        <v>250</v>
      </c>
      <c r="E763" s="25" t="s">
        <v>1127</v>
      </c>
      <c r="F763" s="18"/>
      <c r="G763" s="18"/>
      <c r="H763" s="17"/>
    </row>
    <row r="764" spans="1:8" s="40" customFormat="1" ht="24">
      <c r="A764" s="39">
        <f t="shared" si="12"/>
        <v>2</v>
      </c>
      <c r="B764" s="39" t="s">
        <v>1385</v>
      </c>
      <c r="C764" s="7" t="s">
        <v>1127</v>
      </c>
      <c r="D764" s="8" t="s">
        <v>251</v>
      </c>
      <c r="E764" s="25" t="s">
        <v>1127</v>
      </c>
      <c r="F764" s="18"/>
      <c r="G764" s="18"/>
      <c r="H764" s="17"/>
    </row>
    <row r="765" spans="1:8" s="40" customFormat="1" ht="12">
      <c r="A765" s="39">
        <f t="shared" si="12"/>
        <v>2</v>
      </c>
      <c r="B765" s="39" t="s">
        <v>1385</v>
      </c>
      <c r="C765" s="7" t="s">
        <v>1127</v>
      </c>
      <c r="D765" s="8" t="s">
        <v>252</v>
      </c>
      <c r="E765" s="25" t="s">
        <v>1127</v>
      </c>
      <c r="F765" s="18"/>
      <c r="G765" s="18"/>
      <c r="H765" s="17"/>
    </row>
    <row r="766" spans="1:8" s="40" customFormat="1" ht="12">
      <c r="A766" s="39">
        <f t="shared" si="12"/>
        <v>2</v>
      </c>
      <c r="B766" s="39" t="s">
        <v>1385</v>
      </c>
      <c r="C766" s="7" t="s">
        <v>1127</v>
      </c>
      <c r="D766" s="8" t="s">
        <v>253</v>
      </c>
      <c r="E766" s="25" t="s">
        <v>1127</v>
      </c>
      <c r="F766" s="18"/>
      <c r="G766" s="18"/>
      <c r="H766" s="17"/>
    </row>
    <row r="767" spans="1:8" s="40" customFormat="1" ht="12">
      <c r="A767" s="39">
        <f t="shared" si="12"/>
        <v>2</v>
      </c>
      <c r="B767" s="39" t="s">
        <v>1385</v>
      </c>
      <c r="C767" s="7" t="s">
        <v>1127</v>
      </c>
      <c r="D767" s="8" t="s">
        <v>197</v>
      </c>
      <c r="E767" s="25" t="s">
        <v>1127</v>
      </c>
      <c r="F767" s="18"/>
      <c r="G767" s="18"/>
      <c r="H767" s="17"/>
    </row>
    <row r="768" spans="1:8" s="3" customFormat="1" ht="12">
      <c r="A768" s="41">
        <f t="shared" si="12"/>
        <v>2</v>
      </c>
      <c r="B768" s="41" t="s">
        <v>1386</v>
      </c>
      <c r="C768" s="1" t="s">
        <v>1710</v>
      </c>
      <c r="D768" s="2" t="s">
        <v>650</v>
      </c>
      <c r="E768" s="26" t="s">
        <v>1213</v>
      </c>
      <c r="F768" s="19">
        <v>0</v>
      </c>
      <c r="G768" s="19"/>
      <c r="H768" s="17">
        <f>ROUND((P_2_64.a Qté)*(P_2_64.a PU),2)</f>
        <v>0</v>
      </c>
    </row>
    <row r="769" spans="1:8" s="3" customFormat="1" ht="12">
      <c r="A769" s="41">
        <f t="shared" si="12"/>
        <v>2</v>
      </c>
      <c r="B769" s="41" t="s">
        <v>1386</v>
      </c>
      <c r="C769" s="1" t="s">
        <v>1711</v>
      </c>
      <c r="D769" s="2" t="s">
        <v>254</v>
      </c>
      <c r="E769" s="26" t="s">
        <v>1213</v>
      </c>
      <c r="F769" s="19">
        <v>0</v>
      </c>
      <c r="G769" s="19"/>
      <c r="H769" s="17">
        <f>ROUND((P_2_64.b Qté)*(P_2_64.b PU),2)</f>
        <v>0</v>
      </c>
    </row>
    <row r="770" spans="1:8" s="3" customFormat="1" ht="12">
      <c r="A770" s="41">
        <f t="shared" si="12"/>
        <v>2</v>
      </c>
      <c r="B770" s="41" t="s">
        <v>1386</v>
      </c>
      <c r="C770" s="1" t="s">
        <v>1712</v>
      </c>
      <c r="D770" s="2" t="s">
        <v>255</v>
      </c>
      <c r="E770" s="26" t="s">
        <v>1213</v>
      </c>
      <c r="F770" s="19">
        <v>0</v>
      </c>
      <c r="G770" s="19"/>
      <c r="H770" s="17">
        <f>ROUND((P_2_64.c Qté)*(P_2_64.c PU),2)</f>
        <v>0</v>
      </c>
    </row>
    <row r="771" spans="1:8" s="40" customFormat="1" ht="12">
      <c r="A771" s="39">
        <f t="shared" si="12"/>
        <v>2</v>
      </c>
      <c r="B771" s="39" t="s">
        <v>1385</v>
      </c>
      <c r="C771" s="7" t="s">
        <v>1127</v>
      </c>
      <c r="D771" s="8" t="s">
        <v>674</v>
      </c>
      <c r="E771" s="25" t="s">
        <v>1127</v>
      </c>
      <c r="F771" s="18"/>
      <c r="G771" s="18"/>
      <c r="H771" s="17"/>
    </row>
    <row r="772" spans="1:8" s="40" customFormat="1" ht="36">
      <c r="A772" s="39">
        <f t="shared" si="12"/>
        <v>2</v>
      </c>
      <c r="B772" s="39" t="s">
        <v>1385</v>
      </c>
      <c r="C772" s="7" t="s">
        <v>970</v>
      </c>
      <c r="D772" s="8" t="s">
        <v>675</v>
      </c>
      <c r="E772" s="25" t="s">
        <v>1127</v>
      </c>
      <c r="F772" s="18"/>
      <c r="G772" s="18"/>
      <c r="H772" s="17"/>
    </row>
    <row r="773" spans="1:8" s="40" customFormat="1" ht="48">
      <c r="A773" s="39">
        <f t="shared" si="12"/>
        <v>2</v>
      </c>
      <c r="B773" s="39" t="s">
        <v>1385</v>
      </c>
      <c r="C773" s="7" t="s">
        <v>1127</v>
      </c>
      <c r="D773" s="8" t="s">
        <v>676</v>
      </c>
      <c r="E773" s="25" t="s">
        <v>1127</v>
      </c>
      <c r="F773" s="18"/>
      <c r="G773" s="18"/>
      <c r="H773" s="17"/>
    </row>
    <row r="774" spans="1:8" s="40" customFormat="1" ht="24">
      <c r="A774" s="39">
        <f t="shared" si="12"/>
        <v>2</v>
      </c>
      <c r="B774" s="39" t="s">
        <v>1385</v>
      </c>
      <c r="C774" s="7" t="s">
        <v>1127</v>
      </c>
      <c r="D774" s="8" t="s">
        <v>256</v>
      </c>
      <c r="E774" s="25" t="s">
        <v>1127</v>
      </c>
      <c r="F774" s="18"/>
      <c r="G774" s="18"/>
      <c r="H774" s="17"/>
    </row>
    <row r="775" spans="1:8" s="40" customFormat="1" ht="48">
      <c r="A775" s="39">
        <f t="shared" si="12"/>
        <v>2</v>
      </c>
      <c r="B775" s="39" t="s">
        <v>1385</v>
      </c>
      <c r="C775" s="7" t="s">
        <v>1127</v>
      </c>
      <c r="D775" s="8" t="s">
        <v>257</v>
      </c>
      <c r="E775" s="25" t="s">
        <v>1127</v>
      </c>
      <c r="F775" s="18"/>
      <c r="G775" s="18"/>
      <c r="H775" s="17"/>
    </row>
    <row r="776" spans="1:8" s="40" customFormat="1" ht="24">
      <c r="A776" s="39">
        <f t="shared" si="12"/>
        <v>2</v>
      </c>
      <c r="B776" s="39" t="s">
        <v>1385</v>
      </c>
      <c r="C776" s="7" t="s">
        <v>1127</v>
      </c>
      <c r="D776" s="8" t="s">
        <v>258</v>
      </c>
      <c r="E776" s="25" t="s">
        <v>1127</v>
      </c>
      <c r="F776" s="18"/>
      <c r="G776" s="18"/>
      <c r="H776" s="17"/>
    </row>
    <row r="777" spans="1:8" s="40" customFormat="1" ht="36">
      <c r="A777" s="39">
        <f t="shared" si="12"/>
        <v>2</v>
      </c>
      <c r="B777" s="39" t="s">
        <v>1385</v>
      </c>
      <c r="C777" s="7" t="s">
        <v>1127</v>
      </c>
      <c r="D777" s="8" t="s">
        <v>259</v>
      </c>
      <c r="E777" s="25" t="s">
        <v>1127</v>
      </c>
      <c r="F777" s="18"/>
      <c r="G777" s="18"/>
      <c r="H777" s="17"/>
    </row>
    <row r="778" spans="1:8" s="40" customFormat="1" ht="12">
      <c r="A778" s="39">
        <f t="shared" si="12"/>
        <v>2</v>
      </c>
      <c r="B778" s="39" t="s">
        <v>1385</v>
      </c>
      <c r="C778" s="7" t="s">
        <v>1127</v>
      </c>
      <c r="D778" s="8" t="s">
        <v>260</v>
      </c>
      <c r="E778" s="25" t="s">
        <v>1127</v>
      </c>
      <c r="F778" s="18"/>
      <c r="G778" s="18"/>
      <c r="H778" s="17"/>
    </row>
    <row r="779" spans="1:8" s="40" customFormat="1" ht="12">
      <c r="A779" s="39">
        <f t="shared" si="12"/>
        <v>2</v>
      </c>
      <c r="B779" s="39" t="s">
        <v>1385</v>
      </c>
      <c r="C779" s="7" t="s">
        <v>1127</v>
      </c>
      <c r="D779" s="8" t="s">
        <v>261</v>
      </c>
      <c r="E779" s="25" t="s">
        <v>1127</v>
      </c>
      <c r="F779" s="18"/>
      <c r="G779" s="18"/>
      <c r="H779" s="17"/>
    </row>
    <row r="780" spans="1:8" s="40" customFormat="1" ht="24">
      <c r="A780" s="39">
        <f t="shared" si="12"/>
        <v>2</v>
      </c>
      <c r="B780" s="39" t="s">
        <v>1385</v>
      </c>
      <c r="C780" s="7" t="s">
        <v>1127</v>
      </c>
      <c r="D780" s="8" t="s">
        <v>677</v>
      </c>
      <c r="E780" s="25" t="s">
        <v>1127</v>
      </c>
      <c r="F780" s="18"/>
      <c r="G780" s="18"/>
      <c r="H780" s="17"/>
    </row>
    <row r="781" spans="1:8" s="3" customFormat="1" ht="12">
      <c r="A781" s="41">
        <f t="shared" si="12"/>
        <v>2</v>
      </c>
      <c r="B781" s="41" t="s">
        <v>1386</v>
      </c>
      <c r="C781" s="1" t="s">
        <v>1713</v>
      </c>
      <c r="D781" s="2" t="s">
        <v>657</v>
      </c>
      <c r="E781" s="26" t="s">
        <v>1206</v>
      </c>
      <c r="F781" s="19">
        <v>0</v>
      </c>
      <c r="G781" s="19"/>
      <c r="H781" s="17">
        <f>ROUND((P_2_65.a Qté)*(P_2_65.a PU),2)</f>
        <v>0</v>
      </c>
    </row>
    <row r="782" spans="1:8" ht="12">
      <c r="A782" s="33">
        <f t="shared" si="12"/>
        <v>2</v>
      </c>
      <c r="B782" s="33" t="s">
        <v>1386</v>
      </c>
      <c r="C782" s="12" t="s">
        <v>1714</v>
      </c>
      <c r="D782" s="4" t="s">
        <v>262</v>
      </c>
      <c r="E782" s="22" t="s">
        <v>1206</v>
      </c>
      <c r="F782" s="16">
        <v>0</v>
      </c>
      <c r="H782" s="15">
        <f>ROUND((P_2_65.b Qté)*(P_2_65.b PU),2)</f>
        <v>0</v>
      </c>
    </row>
    <row r="783" spans="1:8" ht="12">
      <c r="A783" s="33">
        <f t="shared" si="12"/>
        <v>2</v>
      </c>
      <c r="B783" s="33" t="s">
        <v>1386</v>
      </c>
      <c r="C783" s="12" t="s">
        <v>1715</v>
      </c>
      <c r="D783" s="4" t="s">
        <v>263</v>
      </c>
      <c r="E783" s="22" t="s">
        <v>1206</v>
      </c>
      <c r="F783" s="16">
        <v>0</v>
      </c>
      <c r="H783" s="15">
        <f>ROUND((P_2_65.c Qté)*(P_2_65.c PU),2)</f>
        <v>0</v>
      </c>
    </row>
    <row r="784" spans="1:8" s="3" customFormat="1" ht="12">
      <c r="A784" s="41">
        <f t="shared" si="12"/>
        <v>2</v>
      </c>
      <c r="B784" s="41" t="s">
        <v>1386</v>
      </c>
      <c r="C784" s="1" t="s">
        <v>1716</v>
      </c>
      <c r="D784" s="2" t="s">
        <v>264</v>
      </c>
      <c r="E784" s="26" t="s">
        <v>1206</v>
      </c>
      <c r="F784" s="19">
        <v>0</v>
      </c>
      <c r="G784" s="19"/>
      <c r="H784" s="17">
        <f>ROUND((P_2_65.d Qté)*(P_2_65.d PU),2)</f>
        <v>0</v>
      </c>
    </row>
    <row r="785" spans="1:8" s="3" customFormat="1" ht="12">
      <c r="A785" s="41">
        <f t="shared" si="12"/>
        <v>2</v>
      </c>
      <c r="B785" s="41" t="s">
        <v>1386</v>
      </c>
      <c r="C785" s="1" t="s">
        <v>1717</v>
      </c>
      <c r="D785" s="2" t="s">
        <v>265</v>
      </c>
      <c r="E785" s="26" t="s">
        <v>1206</v>
      </c>
      <c r="F785" s="19">
        <v>0</v>
      </c>
      <c r="G785" s="19"/>
      <c r="H785" s="17">
        <f>ROUND((P_2_65.e Qté)*(P_2_65.e PU),2)</f>
        <v>0</v>
      </c>
    </row>
    <row r="786" spans="1:8" s="3" customFormat="1" ht="12">
      <c r="A786" s="41">
        <f t="shared" si="12"/>
        <v>2</v>
      </c>
      <c r="B786" s="41" t="s">
        <v>1386</v>
      </c>
      <c r="C786" s="1" t="s">
        <v>1718</v>
      </c>
      <c r="D786" s="2" t="s">
        <v>266</v>
      </c>
      <c r="E786" s="26" t="s">
        <v>1206</v>
      </c>
      <c r="F786" s="19">
        <v>0</v>
      </c>
      <c r="G786" s="19"/>
      <c r="H786" s="17">
        <f>ROUND((P_2_65.f Qté)*(P_2_65.f PU),2)</f>
        <v>0</v>
      </c>
    </row>
    <row r="787" spans="1:8" s="40" customFormat="1" ht="12">
      <c r="A787" s="39">
        <f t="shared" si="12"/>
        <v>2</v>
      </c>
      <c r="B787" s="39" t="s">
        <v>1385</v>
      </c>
      <c r="C787" s="7" t="s">
        <v>1127</v>
      </c>
      <c r="D787" s="8" t="s">
        <v>678</v>
      </c>
      <c r="E787" s="25" t="s">
        <v>1127</v>
      </c>
      <c r="F787" s="18"/>
      <c r="G787" s="18"/>
      <c r="H787" s="17"/>
    </row>
    <row r="788" spans="1:8" s="3" customFormat="1" ht="12">
      <c r="A788" s="41">
        <f t="shared" si="12"/>
        <v>2</v>
      </c>
      <c r="B788" s="41" t="s">
        <v>1386</v>
      </c>
      <c r="C788" s="1" t="s">
        <v>1719</v>
      </c>
      <c r="D788" s="2" t="s">
        <v>267</v>
      </c>
      <c r="E788" s="26" t="s">
        <v>1206</v>
      </c>
      <c r="F788" s="19">
        <v>0</v>
      </c>
      <c r="G788" s="19"/>
      <c r="H788" s="17">
        <f>ROUND((P_2_65.g Qté)*(P_2_65.g PU),2)</f>
        <v>0</v>
      </c>
    </row>
    <row r="789" spans="1:8" s="3" customFormat="1" ht="12">
      <c r="A789" s="41">
        <f t="shared" si="12"/>
        <v>2</v>
      </c>
      <c r="B789" s="41" t="s">
        <v>1386</v>
      </c>
      <c r="C789" s="1" t="s">
        <v>1720</v>
      </c>
      <c r="D789" s="2" t="s">
        <v>268</v>
      </c>
      <c r="E789" s="26" t="s">
        <v>1206</v>
      </c>
      <c r="F789" s="19">
        <v>0</v>
      </c>
      <c r="G789" s="19"/>
      <c r="H789" s="17">
        <f>ROUND((P_2_65.h Qté)*(P_2_65.h PU),2)</f>
        <v>0</v>
      </c>
    </row>
    <row r="790" spans="1:8" s="3" customFormat="1" ht="12">
      <c r="A790" s="41">
        <f t="shared" si="12"/>
        <v>2</v>
      </c>
      <c r="B790" s="41" t="s">
        <v>1386</v>
      </c>
      <c r="C790" s="1" t="s">
        <v>1721</v>
      </c>
      <c r="D790" s="2" t="s">
        <v>269</v>
      </c>
      <c r="E790" s="26" t="s">
        <v>1206</v>
      </c>
      <c r="F790" s="19">
        <v>0</v>
      </c>
      <c r="G790" s="19"/>
      <c r="H790" s="17">
        <f>ROUND((P_2_65.i Qté)*(P_2_65.i PU),2)</f>
        <v>0</v>
      </c>
    </row>
    <row r="791" spans="1:8" s="3" customFormat="1" ht="12">
      <c r="A791" s="41">
        <f t="shared" si="12"/>
        <v>2</v>
      </c>
      <c r="B791" s="41" t="s">
        <v>1386</v>
      </c>
      <c r="C791" s="1" t="s">
        <v>1722</v>
      </c>
      <c r="D791" s="2" t="s">
        <v>270</v>
      </c>
      <c r="E791" s="26" t="s">
        <v>1206</v>
      </c>
      <c r="F791" s="19">
        <v>0</v>
      </c>
      <c r="G791" s="19"/>
      <c r="H791" s="17">
        <f>ROUND((P_2_65.j Qté)*(P_2_65.j PU),2)</f>
        <v>0</v>
      </c>
    </row>
    <row r="792" spans="1:8" s="3" customFormat="1" ht="12">
      <c r="A792" s="41">
        <f t="shared" si="12"/>
        <v>2</v>
      </c>
      <c r="B792" s="41" t="s">
        <v>1386</v>
      </c>
      <c r="C792" s="1" t="s">
        <v>1723</v>
      </c>
      <c r="D792" s="2" t="s">
        <v>271</v>
      </c>
      <c r="E792" s="26" t="s">
        <v>1206</v>
      </c>
      <c r="F792" s="19">
        <v>0</v>
      </c>
      <c r="G792" s="19"/>
      <c r="H792" s="17">
        <f>ROUND((P_2_65.k Qté)*(P_2_65.k PU),2)</f>
        <v>0</v>
      </c>
    </row>
    <row r="793" spans="1:8" s="3" customFormat="1" ht="12">
      <c r="A793" s="41">
        <f t="shared" si="12"/>
        <v>2</v>
      </c>
      <c r="B793" s="41" t="s">
        <v>1386</v>
      </c>
      <c r="C793" s="1" t="s">
        <v>1724</v>
      </c>
      <c r="D793" s="2" t="s">
        <v>272</v>
      </c>
      <c r="E793" s="26" t="s">
        <v>1206</v>
      </c>
      <c r="F793" s="19">
        <v>0</v>
      </c>
      <c r="G793" s="19"/>
      <c r="H793" s="17">
        <f>ROUND((P_2_65.l Qté)*(P_2_65.l PU),2)</f>
        <v>0</v>
      </c>
    </row>
    <row r="794" spans="1:8" s="40" customFormat="1" ht="24">
      <c r="A794" s="39">
        <f t="shared" si="12"/>
        <v>2</v>
      </c>
      <c r="B794" s="39" t="s">
        <v>1385</v>
      </c>
      <c r="C794" s="7" t="s">
        <v>1127</v>
      </c>
      <c r="D794" s="8" t="s">
        <v>679</v>
      </c>
      <c r="E794" s="25" t="s">
        <v>1127</v>
      </c>
      <c r="F794" s="18"/>
      <c r="G794" s="18"/>
      <c r="H794" s="17"/>
    </row>
    <row r="795" spans="1:8" s="3" customFormat="1" ht="12">
      <c r="A795" s="41">
        <f t="shared" si="12"/>
        <v>2</v>
      </c>
      <c r="B795" s="41" t="s">
        <v>1386</v>
      </c>
      <c r="C795" s="1" t="s">
        <v>1725</v>
      </c>
      <c r="D795" s="2" t="s">
        <v>273</v>
      </c>
      <c r="E795" s="26" t="s">
        <v>1206</v>
      </c>
      <c r="F795" s="19">
        <v>0</v>
      </c>
      <c r="G795" s="19"/>
      <c r="H795" s="17">
        <f>ROUND((P_2_65.m Qté)*(P_2_65.m PU),2)</f>
        <v>0</v>
      </c>
    </row>
    <row r="796" spans="1:8" s="3" customFormat="1" ht="12">
      <c r="A796" s="41">
        <f t="shared" si="12"/>
        <v>2</v>
      </c>
      <c r="B796" s="41" t="s">
        <v>1386</v>
      </c>
      <c r="C796" s="1" t="s">
        <v>1726</v>
      </c>
      <c r="D796" s="2" t="s">
        <v>274</v>
      </c>
      <c r="E796" s="26" t="s">
        <v>1206</v>
      </c>
      <c r="F796" s="19">
        <v>0</v>
      </c>
      <c r="G796" s="19"/>
      <c r="H796" s="17">
        <f>ROUND((P_2_65.n Qté)*(P_2_65.n PU),2)</f>
        <v>0</v>
      </c>
    </row>
    <row r="797" spans="1:8" s="3" customFormat="1" ht="12">
      <c r="A797" s="41">
        <f t="shared" si="12"/>
        <v>2</v>
      </c>
      <c r="B797" s="41" t="s">
        <v>1386</v>
      </c>
      <c r="C797" s="1" t="s">
        <v>1727</v>
      </c>
      <c r="D797" s="2" t="s">
        <v>275</v>
      </c>
      <c r="E797" s="26" t="s">
        <v>1206</v>
      </c>
      <c r="F797" s="19">
        <v>0</v>
      </c>
      <c r="G797" s="19"/>
      <c r="H797" s="17">
        <f>ROUND((P_2_65.o Qté)*(P_2_65.o PU),2)</f>
        <v>0</v>
      </c>
    </row>
    <row r="798" spans="1:8" s="3" customFormat="1" ht="12">
      <c r="A798" s="41">
        <f t="shared" si="12"/>
        <v>2</v>
      </c>
      <c r="B798" s="41" t="s">
        <v>1386</v>
      </c>
      <c r="C798" s="1" t="s">
        <v>1728</v>
      </c>
      <c r="D798" s="2" t="s">
        <v>276</v>
      </c>
      <c r="E798" s="26" t="s">
        <v>1206</v>
      </c>
      <c r="F798" s="19">
        <v>0</v>
      </c>
      <c r="G798" s="19"/>
      <c r="H798" s="17">
        <f>ROUND((P_2_65.p Qté)*(P_2_65.p PU),2)</f>
        <v>0</v>
      </c>
    </row>
    <row r="799" spans="1:8" s="3" customFormat="1" ht="12">
      <c r="A799" s="41">
        <f t="shared" si="12"/>
        <v>2</v>
      </c>
      <c r="B799" s="41" t="s">
        <v>1386</v>
      </c>
      <c r="C799" s="1" t="s">
        <v>1729</v>
      </c>
      <c r="D799" s="2" t="s">
        <v>277</v>
      </c>
      <c r="E799" s="26" t="s">
        <v>1206</v>
      </c>
      <c r="F799" s="19">
        <v>0</v>
      </c>
      <c r="G799" s="19"/>
      <c r="H799" s="17">
        <f>ROUND((P_2_65.q Qté)*(P_2_65.q PU),2)</f>
        <v>0</v>
      </c>
    </row>
    <row r="800" spans="1:8" s="3" customFormat="1" ht="24">
      <c r="A800" s="41">
        <f t="shared" si="12"/>
        <v>2</v>
      </c>
      <c r="B800" s="41" t="s">
        <v>1386</v>
      </c>
      <c r="C800" s="1" t="s">
        <v>971</v>
      </c>
      <c r="D800" s="2" t="s">
        <v>680</v>
      </c>
      <c r="E800" s="26" t="s">
        <v>1206</v>
      </c>
      <c r="F800" s="19">
        <v>0</v>
      </c>
      <c r="G800" s="19"/>
      <c r="H800" s="17">
        <f>ROUND((P_2_66 Qté)*(P_2_66 PU),2)</f>
        <v>0</v>
      </c>
    </row>
    <row r="801" spans="1:8" s="40" customFormat="1" ht="36">
      <c r="A801" s="39">
        <f t="shared" si="12"/>
        <v>2</v>
      </c>
      <c r="B801" s="39" t="s">
        <v>1385</v>
      </c>
      <c r="C801" s="7" t="s">
        <v>972</v>
      </c>
      <c r="D801" s="8" t="s">
        <v>681</v>
      </c>
      <c r="E801" s="25" t="s">
        <v>1127</v>
      </c>
      <c r="F801" s="18"/>
      <c r="G801" s="18"/>
      <c r="H801" s="17"/>
    </row>
    <row r="802" spans="1:8" s="40" customFormat="1" ht="36">
      <c r="A802" s="39">
        <f t="shared" si="12"/>
        <v>2</v>
      </c>
      <c r="B802" s="39" t="s">
        <v>1385</v>
      </c>
      <c r="C802" s="7" t="s">
        <v>1127</v>
      </c>
      <c r="D802" s="8" t="s">
        <v>682</v>
      </c>
      <c r="E802" s="25" t="s">
        <v>1127</v>
      </c>
      <c r="F802" s="18"/>
      <c r="G802" s="18"/>
      <c r="H802" s="17"/>
    </row>
    <row r="803" spans="1:8" s="40" customFormat="1" ht="24">
      <c r="A803" s="39">
        <f t="shared" si="12"/>
        <v>2</v>
      </c>
      <c r="B803" s="39" t="s">
        <v>1385</v>
      </c>
      <c r="C803" s="7" t="s">
        <v>1127</v>
      </c>
      <c r="D803" s="8" t="s">
        <v>256</v>
      </c>
      <c r="E803" s="25" t="s">
        <v>1127</v>
      </c>
      <c r="F803" s="18"/>
      <c r="G803" s="18"/>
      <c r="H803" s="17"/>
    </row>
    <row r="804" spans="1:8" s="40" customFormat="1" ht="24">
      <c r="A804" s="39">
        <f t="shared" si="12"/>
        <v>2</v>
      </c>
      <c r="B804" s="39" t="s">
        <v>1385</v>
      </c>
      <c r="C804" s="7" t="s">
        <v>1127</v>
      </c>
      <c r="D804" s="8" t="s">
        <v>278</v>
      </c>
      <c r="E804" s="25" t="s">
        <v>1127</v>
      </c>
      <c r="F804" s="18"/>
      <c r="G804" s="18"/>
      <c r="H804" s="17"/>
    </row>
    <row r="805" spans="1:8" s="40" customFormat="1" ht="12">
      <c r="A805" s="39">
        <f t="shared" si="12"/>
        <v>2</v>
      </c>
      <c r="B805" s="39" t="s">
        <v>1385</v>
      </c>
      <c r="C805" s="7" t="s">
        <v>1127</v>
      </c>
      <c r="D805" s="8" t="s">
        <v>279</v>
      </c>
      <c r="E805" s="25" t="s">
        <v>1127</v>
      </c>
      <c r="F805" s="18"/>
      <c r="G805" s="18"/>
      <c r="H805" s="17"/>
    </row>
    <row r="806" spans="1:8" s="40" customFormat="1" ht="12">
      <c r="A806" s="39">
        <f t="shared" si="12"/>
        <v>2</v>
      </c>
      <c r="B806" s="39" t="s">
        <v>1385</v>
      </c>
      <c r="C806" s="7" t="s">
        <v>1127</v>
      </c>
      <c r="D806" s="8" t="s">
        <v>280</v>
      </c>
      <c r="E806" s="25" t="s">
        <v>1127</v>
      </c>
      <c r="F806" s="18"/>
      <c r="G806" s="18"/>
      <c r="H806" s="17"/>
    </row>
    <row r="807" spans="1:8" s="40" customFormat="1" ht="24">
      <c r="A807" s="39">
        <f t="shared" si="12"/>
        <v>2</v>
      </c>
      <c r="B807" s="39" t="s">
        <v>1385</v>
      </c>
      <c r="C807" s="7" t="s">
        <v>1127</v>
      </c>
      <c r="D807" s="8" t="s">
        <v>281</v>
      </c>
      <c r="E807" s="25" t="s">
        <v>1127</v>
      </c>
      <c r="F807" s="18"/>
      <c r="G807" s="18"/>
      <c r="H807" s="17"/>
    </row>
    <row r="808" spans="1:8" s="40" customFormat="1" ht="24">
      <c r="A808" s="39">
        <f t="shared" si="12"/>
        <v>2</v>
      </c>
      <c r="B808" s="39" t="s">
        <v>1385</v>
      </c>
      <c r="C808" s="7" t="s">
        <v>1127</v>
      </c>
      <c r="D808" s="8" t="s">
        <v>282</v>
      </c>
      <c r="E808" s="25" t="s">
        <v>1127</v>
      </c>
      <c r="F808" s="18"/>
      <c r="G808" s="18"/>
      <c r="H808" s="17"/>
    </row>
    <row r="809" spans="1:8" s="40" customFormat="1" ht="12">
      <c r="A809" s="39">
        <f t="shared" si="12"/>
        <v>2</v>
      </c>
      <c r="B809" s="39" t="s">
        <v>1385</v>
      </c>
      <c r="C809" s="7" t="s">
        <v>1127</v>
      </c>
      <c r="D809" s="8" t="s">
        <v>260</v>
      </c>
      <c r="E809" s="25" t="s">
        <v>1127</v>
      </c>
      <c r="F809" s="18"/>
      <c r="G809" s="18"/>
      <c r="H809" s="17"/>
    </row>
    <row r="810" spans="1:8" s="40" customFormat="1" ht="12">
      <c r="A810" s="39">
        <f t="shared" si="12"/>
        <v>2</v>
      </c>
      <c r="B810" s="39" t="s">
        <v>1385</v>
      </c>
      <c r="C810" s="7" t="s">
        <v>1127</v>
      </c>
      <c r="D810" s="8" t="s">
        <v>261</v>
      </c>
      <c r="E810" s="25" t="s">
        <v>1127</v>
      </c>
      <c r="F810" s="18"/>
      <c r="G810" s="18"/>
      <c r="H810" s="17"/>
    </row>
    <row r="811" spans="1:8" s="40" customFormat="1" ht="12">
      <c r="A811" s="39">
        <f t="shared" si="12"/>
        <v>2</v>
      </c>
      <c r="B811" s="39" t="s">
        <v>1385</v>
      </c>
      <c r="C811" s="7" t="s">
        <v>1127</v>
      </c>
      <c r="D811" s="8" t="s">
        <v>683</v>
      </c>
      <c r="E811" s="25" t="s">
        <v>1127</v>
      </c>
      <c r="F811" s="18"/>
      <c r="G811" s="18"/>
      <c r="H811" s="17"/>
    </row>
    <row r="812" spans="1:8" s="3" customFormat="1" ht="12">
      <c r="A812" s="41">
        <f t="shared" si="12"/>
        <v>2</v>
      </c>
      <c r="B812" s="41" t="s">
        <v>1386</v>
      </c>
      <c r="C812" s="1" t="s">
        <v>1730</v>
      </c>
      <c r="D812" s="2" t="s">
        <v>22</v>
      </c>
      <c r="E812" s="28" t="s">
        <v>1206</v>
      </c>
      <c r="F812" s="19">
        <v>0</v>
      </c>
      <c r="G812" s="19"/>
      <c r="H812" s="17">
        <f>ROUND((P_2_67.a Qté)*(P_2_67.a PU),2)</f>
        <v>0</v>
      </c>
    </row>
    <row r="813" spans="1:8" s="3" customFormat="1" ht="12">
      <c r="A813" s="41">
        <f t="shared" si="12"/>
        <v>2</v>
      </c>
      <c r="B813" s="41" t="s">
        <v>1386</v>
      </c>
      <c r="C813" s="1" t="s">
        <v>1731</v>
      </c>
      <c r="D813" s="2" t="s">
        <v>283</v>
      </c>
      <c r="E813" s="28" t="s">
        <v>1206</v>
      </c>
      <c r="F813" s="19">
        <v>0</v>
      </c>
      <c r="G813" s="19"/>
      <c r="H813" s="17">
        <f>ROUND((P_2_67.b Qté)*(P_2_67.b PU),2)</f>
        <v>0</v>
      </c>
    </row>
    <row r="814" spans="1:8" s="3" customFormat="1" ht="12">
      <c r="A814" s="41">
        <f t="shared" si="12"/>
        <v>2</v>
      </c>
      <c r="B814" s="41" t="s">
        <v>1386</v>
      </c>
      <c r="C814" s="1" t="s">
        <v>1732</v>
      </c>
      <c r="D814" s="2" t="s">
        <v>284</v>
      </c>
      <c r="E814" s="28" t="s">
        <v>1206</v>
      </c>
      <c r="F814" s="19">
        <v>0</v>
      </c>
      <c r="G814" s="19"/>
      <c r="H814" s="17">
        <f>ROUND((P_2_67.c Qté)*(P_2_67.c PU),2)</f>
        <v>0</v>
      </c>
    </row>
    <row r="815" spans="1:8" s="3" customFormat="1" ht="12">
      <c r="A815" s="41">
        <f t="shared" si="12"/>
        <v>2</v>
      </c>
      <c r="B815" s="41" t="s">
        <v>1386</v>
      </c>
      <c r="C815" s="1" t="s">
        <v>1733</v>
      </c>
      <c r="D815" s="2" t="s">
        <v>668</v>
      </c>
      <c r="E815" s="28" t="s">
        <v>1206</v>
      </c>
      <c r="F815" s="19">
        <v>0</v>
      </c>
      <c r="G815" s="19"/>
      <c r="H815" s="17">
        <f>ROUND((P_2_67.d Qté)*(P_2_67.d PU),2)</f>
        <v>0</v>
      </c>
    </row>
    <row r="816" spans="1:8" s="3" customFormat="1" ht="12">
      <c r="A816" s="41">
        <f aca="true" t="shared" si="13" ref="A816:A879">A815</f>
        <v>2</v>
      </c>
      <c r="B816" s="41" t="s">
        <v>1386</v>
      </c>
      <c r="C816" s="1" t="s">
        <v>1734</v>
      </c>
      <c r="D816" s="2" t="s">
        <v>285</v>
      </c>
      <c r="E816" s="28" t="s">
        <v>1206</v>
      </c>
      <c r="F816" s="19">
        <v>0</v>
      </c>
      <c r="G816" s="19"/>
      <c r="H816" s="17">
        <f>ROUND((P_2_67.e Qté)*(P_2_67.e PU),2)</f>
        <v>0</v>
      </c>
    </row>
    <row r="817" spans="1:8" s="40" customFormat="1" ht="12">
      <c r="A817" s="39">
        <f t="shared" si="13"/>
        <v>2</v>
      </c>
      <c r="B817" s="39" t="s">
        <v>1385</v>
      </c>
      <c r="C817" s="7" t="s">
        <v>1127</v>
      </c>
      <c r="D817" s="8" t="s">
        <v>684</v>
      </c>
      <c r="E817" s="25" t="s">
        <v>1127</v>
      </c>
      <c r="F817" s="18"/>
      <c r="G817" s="18"/>
      <c r="H817" s="17"/>
    </row>
    <row r="818" spans="1:8" s="3" customFormat="1" ht="12">
      <c r="A818" s="41">
        <f t="shared" si="13"/>
        <v>2</v>
      </c>
      <c r="B818" s="41" t="s">
        <v>1386</v>
      </c>
      <c r="C818" s="1" t="s">
        <v>1735</v>
      </c>
      <c r="D818" s="2" t="s">
        <v>286</v>
      </c>
      <c r="E818" s="26" t="s">
        <v>1206</v>
      </c>
      <c r="F818" s="19">
        <v>0</v>
      </c>
      <c r="G818" s="19"/>
      <c r="H818" s="17">
        <f>ROUND((P_2_67.f Qté)*(P_2_67.f PU),2)</f>
        <v>0</v>
      </c>
    </row>
    <row r="819" spans="1:8" s="3" customFormat="1" ht="12">
      <c r="A819" s="41">
        <f t="shared" si="13"/>
        <v>2</v>
      </c>
      <c r="B819" s="41" t="s">
        <v>1386</v>
      </c>
      <c r="C819" s="1" t="s">
        <v>1736</v>
      </c>
      <c r="D819" s="2" t="s">
        <v>287</v>
      </c>
      <c r="E819" s="26" t="s">
        <v>1206</v>
      </c>
      <c r="F819" s="19">
        <v>0</v>
      </c>
      <c r="G819" s="19"/>
      <c r="H819" s="17">
        <f>ROUND((P_2_67.g Qté)*(P_2_67.g PU),2)</f>
        <v>0</v>
      </c>
    </row>
    <row r="820" spans="1:8" s="3" customFormat="1" ht="12">
      <c r="A820" s="41">
        <f t="shared" si="13"/>
        <v>2</v>
      </c>
      <c r="B820" s="41" t="s">
        <v>1386</v>
      </c>
      <c r="C820" s="1" t="s">
        <v>1737</v>
      </c>
      <c r="D820" s="2" t="s">
        <v>288</v>
      </c>
      <c r="E820" s="26" t="s">
        <v>1206</v>
      </c>
      <c r="F820" s="19">
        <v>0</v>
      </c>
      <c r="G820" s="19"/>
      <c r="H820" s="17">
        <f>ROUND((P_2_67.h Qté)*(P_2_67.h PU),2)</f>
        <v>0</v>
      </c>
    </row>
    <row r="821" spans="1:8" s="40" customFormat="1" ht="12">
      <c r="A821" s="39">
        <f t="shared" si="13"/>
        <v>2</v>
      </c>
      <c r="B821" s="39" t="s">
        <v>1385</v>
      </c>
      <c r="C821" s="7" t="s">
        <v>1127</v>
      </c>
      <c r="D821" s="8" t="s">
        <v>685</v>
      </c>
      <c r="E821" s="25" t="s">
        <v>1127</v>
      </c>
      <c r="F821" s="18"/>
      <c r="G821" s="18"/>
      <c r="H821" s="17"/>
    </row>
    <row r="822" spans="1:8" s="3" customFormat="1" ht="12">
      <c r="A822" s="41">
        <f t="shared" si="13"/>
        <v>2</v>
      </c>
      <c r="B822" s="41" t="s">
        <v>1386</v>
      </c>
      <c r="C822" s="1" t="s">
        <v>1738</v>
      </c>
      <c r="D822" s="2" t="s">
        <v>289</v>
      </c>
      <c r="E822" s="26" t="s">
        <v>1206</v>
      </c>
      <c r="F822" s="19">
        <v>0</v>
      </c>
      <c r="G822" s="19"/>
      <c r="H822" s="17">
        <f>ROUND((P_2_67.i Qté)*(P_2_67.i PU),2)</f>
        <v>0</v>
      </c>
    </row>
    <row r="823" spans="1:8" s="3" customFormat="1" ht="12">
      <c r="A823" s="41">
        <f t="shared" si="13"/>
        <v>2</v>
      </c>
      <c r="B823" s="41" t="s">
        <v>1386</v>
      </c>
      <c r="C823" s="1" t="s">
        <v>1739</v>
      </c>
      <c r="D823" s="2" t="s">
        <v>290</v>
      </c>
      <c r="E823" s="26" t="s">
        <v>1206</v>
      </c>
      <c r="F823" s="19">
        <v>0</v>
      </c>
      <c r="G823" s="19"/>
      <c r="H823" s="17">
        <f>ROUND((P_2_67.j Qté)*(P_2_67.j PU),2)</f>
        <v>0</v>
      </c>
    </row>
    <row r="824" spans="1:8" s="3" customFormat="1" ht="12">
      <c r="A824" s="41">
        <f t="shared" si="13"/>
        <v>2</v>
      </c>
      <c r="B824" s="41" t="s">
        <v>1386</v>
      </c>
      <c r="C824" s="1" t="s">
        <v>1376</v>
      </c>
      <c r="D824" s="2" t="s">
        <v>291</v>
      </c>
      <c r="E824" s="26" t="s">
        <v>1206</v>
      </c>
      <c r="F824" s="19">
        <v>0</v>
      </c>
      <c r="G824" s="19"/>
      <c r="H824" s="17">
        <f>ROUND((P_2_67.k Qté)*(P_2_67.k PU),2)</f>
        <v>0</v>
      </c>
    </row>
    <row r="825" spans="1:8" s="3" customFormat="1" ht="12">
      <c r="A825" s="41">
        <f t="shared" si="13"/>
        <v>2</v>
      </c>
      <c r="B825" s="41" t="s">
        <v>1386</v>
      </c>
      <c r="C825" s="1" t="s">
        <v>1377</v>
      </c>
      <c r="D825" s="2" t="s">
        <v>292</v>
      </c>
      <c r="E825" s="26" t="s">
        <v>1206</v>
      </c>
      <c r="F825" s="19">
        <v>0</v>
      </c>
      <c r="G825" s="19"/>
      <c r="H825" s="17">
        <f>ROUND((P_2_67.l Qté)*(P_2_67.l PU),2)</f>
        <v>0</v>
      </c>
    </row>
    <row r="826" spans="1:8" s="40" customFormat="1" ht="12">
      <c r="A826" s="39">
        <f t="shared" si="13"/>
        <v>2</v>
      </c>
      <c r="B826" s="39" t="s">
        <v>1385</v>
      </c>
      <c r="C826" s="7" t="s">
        <v>1127</v>
      </c>
      <c r="D826" s="8" t="s">
        <v>686</v>
      </c>
      <c r="E826" s="25" t="s">
        <v>1127</v>
      </c>
      <c r="F826" s="18"/>
      <c r="G826" s="18"/>
      <c r="H826" s="17"/>
    </row>
    <row r="827" spans="1:8" s="3" customFormat="1" ht="12">
      <c r="A827" s="41">
        <f t="shared" si="13"/>
        <v>2</v>
      </c>
      <c r="B827" s="41" t="s">
        <v>1386</v>
      </c>
      <c r="C827" s="1" t="s">
        <v>1378</v>
      </c>
      <c r="D827" s="2" t="s">
        <v>293</v>
      </c>
      <c r="E827" s="26" t="s">
        <v>1206</v>
      </c>
      <c r="F827" s="19">
        <v>0</v>
      </c>
      <c r="G827" s="19"/>
      <c r="H827" s="17">
        <f>ROUND((P_2_67.m Qté)*(P_2_67.m PU),2)</f>
        <v>0</v>
      </c>
    </row>
    <row r="828" spans="1:8" s="40" customFormat="1" ht="36">
      <c r="A828" s="39">
        <f t="shared" si="13"/>
        <v>2</v>
      </c>
      <c r="B828" s="39" t="s">
        <v>1385</v>
      </c>
      <c r="C828" s="7" t="s">
        <v>973</v>
      </c>
      <c r="D828" s="8" t="s">
        <v>1348</v>
      </c>
      <c r="E828" s="25" t="s">
        <v>1127</v>
      </c>
      <c r="F828" s="18"/>
      <c r="G828" s="18"/>
      <c r="H828" s="17"/>
    </row>
    <row r="829" spans="1:8" s="40" customFormat="1" ht="48">
      <c r="A829" s="39">
        <f t="shared" si="13"/>
        <v>2</v>
      </c>
      <c r="B829" s="39" t="s">
        <v>1385</v>
      </c>
      <c r="C829" s="7" t="s">
        <v>1127</v>
      </c>
      <c r="D829" s="8" t="s">
        <v>687</v>
      </c>
      <c r="E829" s="25" t="s">
        <v>1127</v>
      </c>
      <c r="F829" s="18"/>
      <c r="G829" s="18"/>
      <c r="H829" s="17"/>
    </row>
    <row r="830" spans="1:8" s="40" customFormat="1" ht="24">
      <c r="A830" s="39">
        <f t="shared" si="13"/>
        <v>2</v>
      </c>
      <c r="B830" s="39" t="s">
        <v>1385</v>
      </c>
      <c r="C830" s="7" t="s">
        <v>1127</v>
      </c>
      <c r="D830" s="8" t="s">
        <v>294</v>
      </c>
      <c r="E830" s="25" t="s">
        <v>1127</v>
      </c>
      <c r="F830" s="18"/>
      <c r="G830" s="18"/>
      <c r="H830" s="17"/>
    </row>
    <row r="831" spans="1:8" s="40" customFormat="1" ht="24">
      <c r="A831" s="39">
        <f t="shared" si="13"/>
        <v>2</v>
      </c>
      <c r="B831" s="39" t="s">
        <v>1385</v>
      </c>
      <c r="C831" s="7" t="s">
        <v>1127</v>
      </c>
      <c r="D831" s="8" t="s">
        <v>233</v>
      </c>
      <c r="E831" s="25" t="s">
        <v>1127</v>
      </c>
      <c r="F831" s="18"/>
      <c r="G831" s="18"/>
      <c r="H831" s="17"/>
    </row>
    <row r="832" spans="1:8" s="40" customFormat="1" ht="12">
      <c r="A832" s="39">
        <f t="shared" si="13"/>
        <v>2</v>
      </c>
      <c r="B832" s="39" t="s">
        <v>1385</v>
      </c>
      <c r="C832" s="7" t="s">
        <v>1127</v>
      </c>
      <c r="D832" s="8" t="s">
        <v>295</v>
      </c>
      <c r="E832" s="25" t="s">
        <v>1127</v>
      </c>
      <c r="F832" s="18"/>
      <c r="G832" s="18"/>
      <c r="H832" s="17"/>
    </row>
    <row r="833" spans="1:8" s="40" customFormat="1" ht="24">
      <c r="A833" s="39">
        <f t="shared" si="13"/>
        <v>2</v>
      </c>
      <c r="B833" s="39" t="s">
        <v>1385</v>
      </c>
      <c r="C833" s="7" t="s">
        <v>1127</v>
      </c>
      <c r="D833" s="8" t="s">
        <v>278</v>
      </c>
      <c r="E833" s="25" t="s">
        <v>1127</v>
      </c>
      <c r="F833" s="18"/>
      <c r="G833" s="18"/>
      <c r="H833" s="17"/>
    </row>
    <row r="834" spans="1:8" s="40" customFormat="1" ht="12">
      <c r="A834" s="39">
        <f t="shared" si="13"/>
        <v>2</v>
      </c>
      <c r="B834" s="39" t="s">
        <v>1385</v>
      </c>
      <c r="C834" s="7" t="s">
        <v>1127</v>
      </c>
      <c r="D834" s="8" t="s">
        <v>279</v>
      </c>
      <c r="E834" s="25" t="s">
        <v>1127</v>
      </c>
      <c r="F834" s="18"/>
      <c r="G834" s="18"/>
      <c r="H834" s="17"/>
    </row>
    <row r="835" spans="1:8" s="40" customFormat="1" ht="12">
      <c r="A835" s="39">
        <f t="shared" si="13"/>
        <v>2</v>
      </c>
      <c r="B835" s="39" t="s">
        <v>1385</v>
      </c>
      <c r="C835" s="7" t="s">
        <v>1127</v>
      </c>
      <c r="D835" s="8" t="s">
        <v>296</v>
      </c>
      <c r="E835" s="25" t="s">
        <v>1127</v>
      </c>
      <c r="F835" s="18"/>
      <c r="G835" s="18"/>
      <c r="H835" s="17"/>
    </row>
    <row r="836" spans="1:8" s="40" customFormat="1" ht="24">
      <c r="A836" s="39">
        <f t="shared" si="13"/>
        <v>2</v>
      </c>
      <c r="B836" s="39" t="s">
        <v>1385</v>
      </c>
      <c r="C836" s="7" t="s">
        <v>1127</v>
      </c>
      <c r="D836" s="8" t="s">
        <v>297</v>
      </c>
      <c r="E836" s="25" t="s">
        <v>1127</v>
      </c>
      <c r="F836" s="18"/>
      <c r="G836" s="18"/>
      <c r="H836" s="17"/>
    </row>
    <row r="837" spans="1:8" s="40" customFormat="1" ht="12">
      <c r="A837" s="39">
        <f t="shared" si="13"/>
        <v>2</v>
      </c>
      <c r="B837" s="39" t="s">
        <v>1385</v>
      </c>
      <c r="C837" s="7" t="s">
        <v>1127</v>
      </c>
      <c r="D837" s="8" t="s">
        <v>261</v>
      </c>
      <c r="E837" s="25" t="s">
        <v>1127</v>
      </c>
      <c r="F837" s="18"/>
      <c r="G837" s="18"/>
      <c r="H837" s="17"/>
    </row>
    <row r="838" spans="1:8" s="40" customFormat="1" ht="12">
      <c r="A838" s="39">
        <f t="shared" si="13"/>
        <v>2</v>
      </c>
      <c r="B838" s="39" t="s">
        <v>1385</v>
      </c>
      <c r="C838" s="7" t="s">
        <v>1127</v>
      </c>
      <c r="D838" s="8" t="s">
        <v>688</v>
      </c>
      <c r="E838" s="25" t="s">
        <v>1127</v>
      </c>
      <c r="F838" s="18"/>
      <c r="G838" s="18"/>
      <c r="H838" s="17"/>
    </row>
    <row r="839" spans="1:8" s="3" customFormat="1" ht="24">
      <c r="A839" s="41">
        <f t="shared" si="13"/>
        <v>2</v>
      </c>
      <c r="B839" s="41" t="s">
        <v>1386</v>
      </c>
      <c r="C839" s="1" t="s">
        <v>1740</v>
      </c>
      <c r="D839" s="2" t="s">
        <v>298</v>
      </c>
      <c r="E839" s="26" t="s">
        <v>1227</v>
      </c>
      <c r="F839" s="19">
        <v>0</v>
      </c>
      <c r="G839" s="19"/>
      <c r="H839" s="17">
        <f>ROUND((P_2_68.a Qté)*(P_2_68.a PU),2)</f>
        <v>0</v>
      </c>
    </row>
    <row r="840" spans="1:8" s="3" customFormat="1" ht="24">
      <c r="A840" s="41">
        <f t="shared" si="13"/>
        <v>2</v>
      </c>
      <c r="B840" s="41" t="s">
        <v>1386</v>
      </c>
      <c r="C840" s="1" t="s">
        <v>1741</v>
      </c>
      <c r="D840" s="2" t="s">
        <v>299</v>
      </c>
      <c r="E840" s="26" t="s">
        <v>1227</v>
      </c>
      <c r="F840" s="19">
        <v>0</v>
      </c>
      <c r="G840" s="19"/>
      <c r="H840" s="17">
        <f>ROUND((P_2_68.b Qté)*(P_2_68.b PU),2)</f>
        <v>0</v>
      </c>
    </row>
    <row r="841" spans="1:8" s="40" customFormat="1" ht="12">
      <c r="A841" s="39">
        <f t="shared" si="13"/>
        <v>2</v>
      </c>
      <c r="B841" s="39" t="s">
        <v>1385</v>
      </c>
      <c r="C841" s="7" t="s">
        <v>1127</v>
      </c>
      <c r="D841" s="8" t="s">
        <v>689</v>
      </c>
      <c r="E841" s="25" t="s">
        <v>1127</v>
      </c>
      <c r="F841" s="18"/>
      <c r="G841" s="18"/>
      <c r="H841" s="17"/>
    </row>
    <row r="842" spans="1:8" s="3" customFormat="1" ht="24">
      <c r="A842" s="41">
        <f t="shared" si="13"/>
        <v>2</v>
      </c>
      <c r="B842" s="41" t="s">
        <v>1386</v>
      </c>
      <c r="C842" s="1" t="s">
        <v>1742</v>
      </c>
      <c r="D842" s="2" t="s">
        <v>300</v>
      </c>
      <c r="E842" s="26" t="s">
        <v>1227</v>
      </c>
      <c r="F842" s="19">
        <v>0</v>
      </c>
      <c r="G842" s="19"/>
      <c r="H842" s="17">
        <f>ROUND((P_2_68.c Qté)*(P_2_68.c PU),2)</f>
        <v>0</v>
      </c>
    </row>
    <row r="843" spans="1:8" s="3" customFormat="1" ht="24">
      <c r="A843" s="41">
        <f t="shared" si="13"/>
        <v>2</v>
      </c>
      <c r="B843" s="41" t="s">
        <v>1386</v>
      </c>
      <c r="C843" s="1" t="s">
        <v>1743</v>
      </c>
      <c r="D843" s="2" t="s">
        <v>301</v>
      </c>
      <c r="E843" s="26" t="s">
        <v>1227</v>
      </c>
      <c r="F843" s="19">
        <v>0</v>
      </c>
      <c r="G843" s="19"/>
      <c r="H843" s="17">
        <f>ROUND((P_2_68.d Qté)*(P_2_68.d PU),2)</f>
        <v>0</v>
      </c>
    </row>
    <row r="844" spans="1:8" s="3" customFormat="1" ht="24">
      <c r="A844" s="41">
        <f t="shared" si="13"/>
        <v>2</v>
      </c>
      <c r="B844" s="41" t="s">
        <v>1386</v>
      </c>
      <c r="C844" s="1" t="s">
        <v>1744</v>
      </c>
      <c r="D844" s="2" t="s">
        <v>302</v>
      </c>
      <c r="E844" s="26" t="s">
        <v>1227</v>
      </c>
      <c r="F844" s="19">
        <v>0</v>
      </c>
      <c r="G844" s="19"/>
      <c r="H844" s="17">
        <f>ROUND((P_2_68.e Qté)*(P_2_68.e PU),2)</f>
        <v>0</v>
      </c>
    </row>
    <row r="845" spans="1:8" s="3" customFormat="1" ht="24">
      <c r="A845" s="41">
        <f t="shared" si="13"/>
        <v>2</v>
      </c>
      <c r="B845" s="41" t="s">
        <v>1386</v>
      </c>
      <c r="C845" s="1" t="s">
        <v>1745</v>
      </c>
      <c r="D845" s="2" t="s">
        <v>303</v>
      </c>
      <c r="E845" s="26" t="s">
        <v>1227</v>
      </c>
      <c r="F845" s="19">
        <v>0</v>
      </c>
      <c r="G845" s="19"/>
      <c r="H845" s="17">
        <f>ROUND((P_2_68.f Qté)*(P_2_68.f PU),2)</f>
        <v>0</v>
      </c>
    </row>
    <row r="846" spans="1:8" s="40" customFormat="1" ht="36">
      <c r="A846" s="39">
        <f t="shared" si="13"/>
        <v>2</v>
      </c>
      <c r="B846" s="39" t="s">
        <v>1385</v>
      </c>
      <c r="C846" s="7" t="s">
        <v>974</v>
      </c>
      <c r="D846" s="8" t="s">
        <v>1511</v>
      </c>
      <c r="E846" s="25" t="s">
        <v>1127</v>
      </c>
      <c r="F846" s="18"/>
      <c r="G846" s="18"/>
      <c r="H846" s="17"/>
    </row>
    <row r="847" spans="1:8" s="40" customFormat="1" ht="48">
      <c r="A847" s="39">
        <f t="shared" si="13"/>
        <v>2</v>
      </c>
      <c r="B847" s="39" t="s">
        <v>1385</v>
      </c>
      <c r="C847" s="7" t="s">
        <v>1127</v>
      </c>
      <c r="D847" s="8" t="s">
        <v>690</v>
      </c>
      <c r="E847" s="25" t="s">
        <v>1127</v>
      </c>
      <c r="F847" s="18"/>
      <c r="G847" s="18"/>
      <c r="H847" s="17"/>
    </row>
    <row r="848" spans="1:8" s="40" customFormat="1" ht="24">
      <c r="A848" s="39">
        <f t="shared" si="13"/>
        <v>2</v>
      </c>
      <c r="B848" s="39" t="s">
        <v>1385</v>
      </c>
      <c r="C848" s="7" t="s">
        <v>1127</v>
      </c>
      <c r="D848" s="8" t="s">
        <v>294</v>
      </c>
      <c r="E848" s="25" t="s">
        <v>1127</v>
      </c>
      <c r="F848" s="18"/>
      <c r="G848" s="18"/>
      <c r="H848" s="17"/>
    </row>
    <row r="849" spans="1:8" s="40" customFormat="1" ht="24">
      <c r="A849" s="39">
        <f t="shared" si="13"/>
        <v>2</v>
      </c>
      <c r="B849" s="39" t="s">
        <v>1385</v>
      </c>
      <c r="C849" s="7" t="s">
        <v>1127</v>
      </c>
      <c r="D849" s="8" t="s">
        <v>233</v>
      </c>
      <c r="E849" s="25" t="s">
        <v>1127</v>
      </c>
      <c r="F849" s="18"/>
      <c r="G849" s="18"/>
      <c r="H849" s="17"/>
    </row>
    <row r="850" spans="1:8" s="40" customFormat="1" ht="12">
      <c r="A850" s="39">
        <f t="shared" si="13"/>
        <v>2</v>
      </c>
      <c r="B850" s="39" t="s">
        <v>1385</v>
      </c>
      <c r="C850" s="7" t="s">
        <v>1127</v>
      </c>
      <c r="D850" s="8" t="s">
        <v>295</v>
      </c>
      <c r="E850" s="25" t="s">
        <v>1127</v>
      </c>
      <c r="F850" s="18"/>
      <c r="G850" s="18"/>
      <c r="H850" s="17"/>
    </row>
    <row r="851" spans="1:8" s="40" customFormat="1" ht="24">
      <c r="A851" s="39">
        <f t="shared" si="13"/>
        <v>2</v>
      </c>
      <c r="B851" s="39" t="s">
        <v>1385</v>
      </c>
      <c r="C851" s="7" t="s">
        <v>1127</v>
      </c>
      <c r="D851" s="8" t="s">
        <v>278</v>
      </c>
      <c r="E851" s="25" t="s">
        <v>1127</v>
      </c>
      <c r="F851" s="18"/>
      <c r="G851" s="18"/>
      <c r="H851" s="17"/>
    </row>
    <row r="852" spans="1:8" s="40" customFormat="1" ht="12">
      <c r="A852" s="39">
        <f t="shared" si="13"/>
        <v>2</v>
      </c>
      <c r="B852" s="39" t="s">
        <v>1385</v>
      </c>
      <c r="C852" s="7" t="s">
        <v>1127</v>
      </c>
      <c r="D852" s="8" t="s">
        <v>279</v>
      </c>
      <c r="E852" s="25" t="s">
        <v>1127</v>
      </c>
      <c r="F852" s="18"/>
      <c r="G852" s="18"/>
      <c r="H852" s="17"/>
    </row>
    <row r="853" spans="1:8" s="40" customFormat="1" ht="12">
      <c r="A853" s="39">
        <f t="shared" si="13"/>
        <v>2</v>
      </c>
      <c r="B853" s="39" t="s">
        <v>1385</v>
      </c>
      <c r="C853" s="7" t="s">
        <v>1127</v>
      </c>
      <c r="D853" s="8" t="s">
        <v>304</v>
      </c>
      <c r="E853" s="25" t="s">
        <v>1127</v>
      </c>
      <c r="F853" s="18"/>
      <c r="G853" s="18"/>
      <c r="H853" s="17"/>
    </row>
    <row r="854" spans="1:8" s="40" customFormat="1" ht="24">
      <c r="A854" s="39">
        <f t="shared" si="13"/>
        <v>2</v>
      </c>
      <c r="B854" s="39" t="s">
        <v>1385</v>
      </c>
      <c r="C854" s="7" t="s">
        <v>1127</v>
      </c>
      <c r="D854" s="8" t="s">
        <v>297</v>
      </c>
      <c r="E854" s="25" t="s">
        <v>1127</v>
      </c>
      <c r="F854" s="18"/>
      <c r="G854" s="18"/>
      <c r="H854" s="17"/>
    </row>
    <row r="855" spans="1:8" s="40" customFormat="1" ht="12">
      <c r="A855" s="39">
        <f t="shared" si="13"/>
        <v>2</v>
      </c>
      <c r="B855" s="39" t="s">
        <v>1385</v>
      </c>
      <c r="C855" s="7" t="s">
        <v>1127</v>
      </c>
      <c r="D855" s="8" t="s">
        <v>261</v>
      </c>
      <c r="E855" s="25" t="s">
        <v>1127</v>
      </c>
      <c r="F855" s="18"/>
      <c r="G855" s="18"/>
      <c r="H855" s="17"/>
    </row>
    <row r="856" spans="1:8" s="3" customFormat="1" ht="12">
      <c r="A856" s="41">
        <f t="shared" si="13"/>
        <v>2</v>
      </c>
      <c r="B856" s="41" t="s">
        <v>1386</v>
      </c>
      <c r="C856" s="1" t="s">
        <v>1746</v>
      </c>
      <c r="D856" s="2" t="s">
        <v>76</v>
      </c>
      <c r="E856" s="26" t="s">
        <v>1227</v>
      </c>
      <c r="F856" s="19">
        <v>0</v>
      </c>
      <c r="G856" s="19"/>
      <c r="H856" s="17">
        <f>ROUND((P_2_69.a Qté)*(P_2_69.a PU),2)</f>
        <v>0</v>
      </c>
    </row>
    <row r="857" spans="1:8" s="3" customFormat="1" ht="12">
      <c r="A857" s="41">
        <f t="shared" si="13"/>
        <v>2</v>
      </c>
      <c r="B857" s="41" t="s">
        <v>1386</v>
      </c>
      <c r="C857" s="1" t="s">
        <v>1747</v>
      </c>
      <c r="D857" s="2" t="s">
        <v>77</v>
      </c>
      <c r="E857" s="26" t="s">
        <v>1227</v>
      </c>
      <c r="F857" s="19">
        <v>0</v>
      </c>
      <c r="G857" s="19"/>
      <c r="H857" s="17">
        <f>ROUND((P_2_69.b Qté)*(P_2_69.b PU),2)</f>
        <v>0</v>
      </c>
    </row>
    <row r="858" spans="1:8" s="40" customFormat="1" ht="36">
      <c r="A858" s="39">
        <f t="shared" si="13"/>
        <v>2</v>
      </c>
      <c r="B858" s="39" t="s">
        <v>1385</v>
      </c>
      <c r="C858" s="7" t="s">
        <v>975</v>
      </c>
      <c r="D858" s="8" t="s">
        <v>691</v>
      </c>
      <c r="E858" s="25" t="s">
        <v>1127</v>
      </c>
      <c r="F858" s="18"/>
      <c r="G858" s="18"/>
      <c r="H858" s="17"/>
    </row>
    <row r="859" spans="1:8" s="40" customFormat="1" ht="48">
      <c r="A859" s="39">
        <f t="shared" si="13"/>
        <v>2</v>
      </c>
      <c r="B859" s="39" t="s">
        <v>1385</v>
      </c>
      <c r="C859" s="7" t="s">
        <v>1127</v>
      </c>
      <c r="D859" s="8" t="s">
        <v>692</v>
      </c>
      <c r="E859" s="25" t="s">
        <v>1127</v>
      </c>
      <c r="F859" s="18"/>
      <c r="G859" s="18"/>
      <c r="H859" s="17"/>
    </row>
    <row r="860" spans="1:8" s="40" customFormat="1" ht="24">
      <c r="A860" s="39">
        <f t="shared" si="13"/>
        <v>2</v>
      </c>
      <c r="B860" s="39" t="s">
        <v>1385</v>
      </c>
      <c r="C860" s="7" t="s">
        <v>1127</v>
      </c>
      <c r="D860" s="8" t="s">
        <v>294</v>
      </c>
      <c r="E860" s="25" t="s">
        <v>1127</v>
      </c>
      <c r="F860" s="18"/>
      <c r="G860" s="18"/>
      <c r="H860" s="17"/>
    </row>
    <row r="861" spans="1:8" s="40" customFormat="1" ht="24">
      <c r="A861" s="39">
        <f t="shared" si="13"/>
        <v>2</v>
      </c>
      <c r="B861" s="39" t="s">
        <v>1385</v>
      </c>
      <c r="C861" s="7" t="s">
        <v>1127</v>
      </c>
      <c r="D861" s="8" t="s">
        <v>233</v>
      </c>
      <c r="E861" s="25" t="s">
        <v>1127</v>
      </c>
      <c r="F861" s="18"/>
      <c r="G861" s="18"/>
      <c r="H861" s="17"/>
    </row>
    <row r="862" spans="1:8" s="40" customFormat="1" ht="12">
      <c r="A862" s="39">
        <f t="shared" si="13"/>
        <v>2</v>
      </c>
      <c r="B862" s="39" t="s">
        <v>1385</v>
      </c>
      <c r="C862" s="7" t="s">
        <v>1127</v>
      </c>
      <c r="D862" s="8" t="s">
        <v>295</v>
      </c>
      <c r="E862" s="25" t="s">
        <v>1127</v>
      </c>
      <c r="F862" s="18"/>
      <c r="G862" s="18"/>
      <c r="H862" s="17"/>
    </row>
    <row r="863" spans="1:8" s="40" customFormat="1" ht="24">
      <c r="A863" s="39">
        <f t="shared" si="13"/>
        <v>2</v>
      </c>
      <c r="B863" s="39" t="s">
        <v>1385</v>
      </c>
      <c r="C863" s="7" t="s">
        <v>1127</v>
      </c>
      <c r="D863" s="8" t="s">
        <v>278</v>
      </c>
      <c r="E863" s="25" t="s">
        <v>1127</v>
      </c>
      <c r="F863" s="18"/>
      <c r="G863" s="18"/>
      <c r="H863" s="17"/>
    </row>
    <row r="864" spans="1:8" s="40" customFormat="1" ht="12">
      <c r="A864" s="39">
        <f t="shared" si="13"/>
        <v>2</v>
      </c>
      <c r="B864" s="39" t="s">
        <v>1385</v>
      </c>
      <c r="C864" s="7" t="s">
        <v>1127</v>
      </c>
      <c r="D864" s="8" t="s">
        <v>279</v>
      </c>
      <c r="E864" s="25" t="s">
        <v>1127</v>
      </c>
      <c r="F864" s="18"/>
      <c r="G864" s="18"/>
      <c r="H864" s="17"/>
    </row>
    <row r="865" spans="1:8" s="40" customFormat="1" ht="12">
      <c r="A865" s="39">
        <f t="shared" si="13"/>
        <v>2</v>
      </c>
      <c r="B865" s="39" t="s">
        <v>1385</v>
      </c>
      <c r="C865" s="7" t="s">
        <v>1127</v>
      </c>
      <c r="D865" s="8" t="s">
        <v>305</v>
      </c>
      <c r="E865" s="25" t="s">
        <v>1127</v>
      </c>
      <c r="F865" s="18"/>
      <c r="G865" s="18"/>
      <c r="H865" s="17"/>
    </row>
    <row r="866" spans="1:8" s="40" customFormat="1" ht="24">
      <c r="A866" s="39">
        <f t="shared" si="13"/>
        <v>2</v>
      </c>
      <c r="B866" s="39" t="s">
        <v>1385</v>
      </c>
      <c r="C866" s="7" t="s">
        <v>1127</v>
      </c>
      <c r="D866" s="8" t="s">
        <v>297</v>
      </c>
      <c r="E866" s="25" t="s">
        <v>1127</v>
      </c>
      <c r="F866" s="18"/>
      <c r="G866" s="18"/>
      <c r="H866" s="17"/>
    </row>
    <row r="867" spans="1:8" s="40" customFormat="1" ht="12">
      <c r="A867" s="39">
        <f t="shared" si="13"/>
        <v>2</v>
      </c>
      <c r="B867" s="39" t="s">
        <v>1385</v>
      </c>
      <c r="C867" s="7" t="s">
        <v>1127</v>
      </c>
      <c r="D867" s="8" t="s">
        <v>261</v>
      </c>
      <c r="E867" s="25" t="s">
        <v>1127</v>
      </c>
      <c r="F867" s="18"/>
      <c r="G867" s="18"/>
      <c r="H867" s="17"/>
    </row>
    <row r="868" spans="1:8" s="3" customFormat="1" ht="24">
      <c r="A868" s="41">
        <f t="shared" si="13"/>
        <v>2</v>
      </c>
      <c r="B868" s="41" t="s">
        <v>1386</v>
      </c>
      <c r="C868" s="1" t="s">
        <v>1748</v>
      </c>
      <c r="D868" s="2" t="s">
        <v>35</v>
      </c>
      <c r="E868" s="26" t="s">
        <v>1227</v>
      </c>
      <c r="F868" s="19">
        <v>0</v>
      </c>
      <c r="G868" s="19"/>
      <c r="H868" s="17">
        <f>ROUND((P_2_70.a Qté)*(P_2_70.a PU),2)</f>
        <v>0</v>
      </c>
    </row>
    <row r="869" spans="1:8" s="3" customFormat="1" ht="24">
      <c r="A869" s="41">
        <f t="shared" si="13"/>
        <v>2</v>
      </c>
      <c r="B869" s="41" t="s">
        <v>1386</v>
      </c>
      <c r="C869" s="1" t="s">
        <v>1749</v>
      </c>
      <c r="D869" s="2" t="s">
        <v>36</v>
      </c>
      <c r="E869" s="26" t="s">
        <v>1227</v>
      </c>
      <c r="F869" s="19">
        <v>0</v>
      </c>
      <c r="G869" s="19"/>
      <c r="H869" s="17">
        <f>ROUND((P_2_70.b Qté)*(P_2_70.b PU),2)</f>
        <v>0</v>
      </c>
    </row>
    <row r="870" spans="1:8" s="40" customFormat="1" ht="12">
      <c r="A870" s="39">
        <f t="shared" si="13"/>
        <v>2</v>
      </c>
      <c r="B870" s="39" t="s">
        <v>1385</v>
      </c>
      <c r="C870" s="7" t="s">
        <v>1127</v>
      </c>
      <c r="D870" s="8" t="s">
        <v>1229</v>
      </c>
      <c r="E870" s="25" t="s">
        <v>1127</v>
      </c>
      <c r="F870" s="18"/>
      <c r="G870" s="18"/>
      <c r="H870" s="17"/>
    </row>
    <row r="871" spans="1:8" s="40" customFormat="1" ht="12">
      <c r="A871" s="39">
        <f t="shared" si="13"/>
        <v>2</v>
      </c>
      <c r="B871" s="39" t="s">
        <v>1385</v>
      </c>
      <c r="C871" s="7" t="s">
        <v>1127</v>
      </c>
      <c r="D871" s="8" t="s">
        <v>739</v>
      </c>
      <c r="E871" s="25" t="s">
        <v>1127</v>
      </c>
      <c r="F871" s="18"/>
      <c r="G871" s="18"/>
      <c r="H871" s="17"/>
    </row>
    <row r="872" spans="1:8" s="40" customFormat="1" ht="36">
      <c r="A872" s="39">
        <f t="shared" si="13"/>
        <v>2</v>
      </c>
      <c r="B872" s="39" t="s">
        <v>1385</v>
      </c>
      <c r="C872" s="7" t="s">
        <v>976</v>
      </c>
      <c r="D872" s="8" t="s">
        <v>693</v>
      </c>
      <c r="E872" s="25" t="s">
        <v>1127</v>
      </c>
      <c r="F872" s="18"/>
      <c r="G872" s="18"/>
      <c r="H872" s="17"/>
    </row>
    <row r="873" spans="1:8" s="40" customFormat="1" ht="12">
      <c r="A873" s="39">
        <f t="shared" si="13"/>
        <v>2</v>
      </c>
      <c r="B873" s="39" t="s">
        <v>1385</v>
      </c>
      <c r="C873" s="7" t="s">
        <v>1127</v>
      </c>
      <c r="D873" s="8" t="s">
        <v>1226</v>
      </c>
      <c r="E873" s="25" t="s">
        <v>1127</v>
      </c>
      <c r="F873" s="18"/>
      <c r="G873" s="18"/>
      <c r="H873" s="17"/>
    </row>
    <row r="874" spans="1:8" s="40" customFormat="1" ht="36">
      <c r="A874" s="39">
        <f t="shared" si="13"/>
        <v>2</v>
      </c>
      <c r="B874" s="39" t="s">
        <v>1385</v>
      </c>
      <c r="C874" s="7" t="s">
        <v>1127</v>
      </c>
      <c r="D874" s="8" t="s">
        <v>306</v>
      </c>
      <c r="E874" s="25" t="s">
        <v>1127</v>
      </c>
      <c r="F874" s="18"/>
      <c r="G874" s="18"/>
      <c r="H874" s="17"/>
    </row>
    <row r="875" spans="1:8" s="40" customFormat="1" ht="24">
      <c r="A875" s="39">
        <f t="shared" si="13"/>
        <v>2</v>
      </c>
      <c r="B875" s="39" t="s">
        <v>1385</v>
      </c>
      <c r="C875" s="7" t="s">
        <v>1127</v>
      </c>
      <c r="D875" s="8" t="s">
        <v>233</v>
      </c>
      <c r="E875" s="25" t="s">
        <v>1127</v>
      </c>
      <c r="F875" s="18"/>
      <c r="G875" s="18"/>
      <c r="H875" s="17"/>
    </row>
    <row r="876" spans="1:8" s="40" customFormat="1" ht="12">
      <c r="A876" s="39">
        <f t="shared" si="13"/>
        <v>2</v>
      </c>
      <c r="B876" s="39" t="s">
        <v>1385</v>
      </c>
      <c r="C876" s="7" t="s">
        <v>1127</v>
      </c>
      <c r="D876" s="8" t="s">
        <v>307</v>
      </c>
      <c r="E876" s="25" t="s">
        <v>1127</v>
      </c>
      <c r="F876" s="18"/>
      <c r="G876" s="18"/>
      <c r="H876" s="17"/>
    </row>
    <row r="877" spans="1:8" s="40" customFormat="1" ht="24">
      <c r="A877" s="39">
        <f t="shared" si="13"/>
        <v>2</v>
      </c>
      <c r="B877" s="39" t="s">
        <v>1385</v>
      </c>
      <c r="C877" s="7" t="s">
        <v>1127</v>
      </c>
      <c r="D877" s="8" t="s">
        <v>308</v>
      </c>
      <c r="E877" s="25" t="s">
        <v>1127</v>
      </c>
      <c r="F877" s="18"/>
      <c r="G877" s="18"/>
      <c r="H877" s="17"/>
    </row>
    <row r="878" spans="1:8" s="40" customFormat="1" ht="24">
      <c r="A878" s="39">
        <f t="shared" si="13"/>
        <v>2</v>
      </c>
      <c r="B878" s="39" t="s">
        <v>1385</v>
      </c>
      <c r="C878" s="7" t="s">
        <v>1127</v>
      </c>
      <c r="D878" s="8" t="s">
        <v>309</v>
      </c>
      <c r="E878" s="25" t="s">
        <v>1127</v>
      </c>
      <c r="F878" s="18"/>
      <c r="G878" s="18"/>
      <c r="H878" s="17"/>
    </row>
    <row r="879" spans="1:8" s="40" customFormat="1" ht="24">
      <c r="A879" s="39">
        <f t="shared" si="13"/>
        <v>2</v>
      </c>
      <c r="B879" s="39" t="s">
        <v>1385</v>
      </c>
      <c r="C879" s="7" t="s">
        <v>1127</v>
      </c>
      <c r="D879" s="8" t="s">
        <v>310</v>
      </c>
      <c r="E879" s="25" t="s">
        <v>1127</v>
      </c>
      <c r="F879" s="18"/>
      <c r="G879" s="18"/>
      <c r="H879" s="17"/>
    </row>
    <row r="880" spans="1:8" s="40" customFormat="1" ht="24">
      <c r="A880" s="39">
        <f aca="true" t="shared" si="14" ref="A880:A943">A879</f>
        <v>2</v>
      </c>
      <c r="B880" s="39" t="s">
        <v>1385</v>
      </c>
      <c r="C880" s="7" t="s">
        <v>1127</v>
      </c>
      <c r="D880" s="8" t="s">
        <v>311</v>
      </c>
      <c r="E880" s="25" t="s">
        <v>1127</v>
      </c>
      <c r="F880" s="18"/>
      <c r="G880" s="18"/>
      <c r="H880" s="17"/>
    </row>
    <row r="881" spans="1:8" s="40" customFormat="1" ht="12">
      <c r="A881" s="39">
        <f t="shared" si="14"/>
        <v>2</v>
      </c>
      <c r="B881" s="39" t="s">
        <v>1385</v>
      </c>
      <c r="C881" s="7" t="s">
        <v>1127</v>
      </c>
      <c r="D881" s="8" t="s">
        <v>312</v>
      </c>
      <c r="E881" s="25" t="s">
        <v>1127</v>
      </c>
      <c r="F881" s="18"/>
      <c r="G881" s="18"/>
      <c r="H881" s="17"/>
    </row>
    <row r="882" spans="1:8" s="40" customFormat="1" ht="12">
      <c r="A882" s="39">
        <f t="shared" si="14"/>
        <v>2</v>
      </c>
      <c r="B882" s="39" t="s">
        <v>1385</v>
      </c>
      <c r="C882" s="7" t="s">
        <v>1127</v>
      </c>
      <c r="D882" s="8" t="s">
        <v>313</v>
      </c>
      <c r="E882" s="25" t="s">
        <v>1127</v>
      </c>
      <c r="F882" s="18"/>
      <c r="G882" s="18"/>
      <c r="H882" s="17"/>
    </row>
    <row r="883" spans="1:8" s="40" customFormat="1" ht="12">
      <c r="A883" s="39">
        <f t="shared" si="14"/>
        <v>2</v>
      </c>
      <c r="B883" s="39" t="s">
        <v>1385</v>
      </c>
      <c r="C883" s="7" t="s">
        <v>1127</v>
      </c>
      <c r="D883" s="8" t="s">
        <v>314</v>
      </c>
      <c r="E883" s="25" t="s">
        <v>1127</v>
      </c>
      <c r="F883" s="18"/>
      <c r="G883" s="18"/>
      <c r="H883" s="17"/>
    </row>
    <row r="884" spans="1:8" s="40" customFormat="1" ht="12">
      <c r="A884" s="39">
        <f t="shared" si="14"/>
        <v>2</v>
      </c>
      <c r="B884" s="39" t="s">
        <v>1385</v>
      </c>
      <c r="C884" s="7" t="s">
        <v>1127</v>
      </c>
      <c r="D884" s="8" t="s">
        <v>694</v>
      </c>
      <c r="E884" s="25" t="s">
        <v>1127</v>
      </c>
      <c r="F884" s="18"/>
      <c r="G884" s="18"/>
      <c r="H884" s="17"/>
    </row>
    <row r="885" spans="1:8" s="3" customFormat="1" ht="12">
      <c r="A885" s="41">
        <f t="shared" si="14"/>
        <v>2</v>
      </c>
      <c r="B885" s="41" t="s">
        <v>1386</v>
      </c>
      <c r="C885" s="1" t="s">
        <v>1750</v>
      </c>
      <c r="D885" s="2" t="s">
        <v>315</v>
      </c>
      <c r="E885" s="26" t="s">
        <v>1227</v>
      </c>
      <c r="F885" s="19">
        <v>0</v>
      </c>
      <c r="G885" s="19"/>
      <c r="H885" s="17">
        <f>ROUND((P_2_71.a Qté)*(P_2_71.a PU),2)</f>
        <v>0</v>
      </c>
    </row>
    <row r="886" spans="1:8" s="3" customFormat="1" ht="24">
      <c r="A886" s="41">
        <f t="shared" si="14"/>
        <v>2</v>
      </c>
      <c r="B886" s="41" t="s">
        <v>1386</v>
      </c>
      <c r="C886" s="1" t="s">
        <v>1751</v>
      </c>
      <c r="D886" s="2" t="s">
        <v>316</v>
      </c>
      <c r="E886" s="26" t="s">
        <v>1227</v>
      </c>
      <c r="F886" s="19">
        <v>0</v>
      </c>
      <c r="G886" s="19"/>
      <c r="H886" s="17">
        <f>ROUND((P_2_71.b Qté)*(P_2_71.b PU),2)</f>
        <v>0</v>
      </c>
    </row>
    <row r="887" spans="1:8" s="40" customFormat="1" ht="12">
      <c r="A887" s="39">
        <f t="shared" si="14"/>
        <v>2</v>
      </c>
      <c r="B887" s="39" t="s">
        <v>1385</v>
      </c>
      <c r="C887" s="7" t="s">
        <v>1127</v>
      </c>
      <c r="D887" s="8" t="s">
        <v>695</v>
      </c>
      <c r="E887" s="25" t="s">
        <v>1127</v>
      </c>
      <c r="F887" s="18"/>
      <c r="G887" s="18"/>
      <c r="H887" s="17"/>
    </row>
    <row r="888" spans="1:8" s="3" customFormat="1" ht="24">
      <c r="A888" s="41">
        <f t="shared" si="14"/>
        <v>2</v>
      </c>
      <c r="B888" s="41" t="s">
        <v>1386</v>
      </c>
      <c r="C888" s="1" t="s">
        <v>1752</v>
      </c>
      <c r="D888" s="2" t="s">
        <v>317</v>
      </c>
      <c r="E888" s="26" t="s">
        <v>1227</v>
      </c>
      <c r="F888" s="19">
        <v>0</v>
      </c>
      <c r="G888" s="19"/>
      <c r="H888" s="17">
        <f>ROUND((P_2_71.c Qté)*(P_2_71.c PU),2)</f>
        <v>0</v>
      </c>
    </row>
    <row r="889" spans="1:8" s="3" customFormat="1" ht="24">
      <c r="A889" s="41">
        <f t="shared" si="14"/>
        <v>2</v>
      </c>
      <c r="B889" s="41" t="s">
        <v>1386</v>
      </c>
      <c r="C889" s="1" t="s">
        <v>1242</v>
      </c>
      <c r="D889" s="2" t="s">
        <v>318</v>
      </c>
      <c r="E889" s="26" t="s">
        <v>1227</v>
      </c>
      <c r="F889" s="19">
        <v>0</v>
      </c>
      <c r="G889" s="19"/>
      <c r="H889" s="17">
        <f>ROUND((P_2_71.d Qté)*(P_2_71.d PU),2)</f>
        <v>0</v>
      </c>
    </row>
    <row r="890" spans="1:8" s="40" customFormat="1" ht="12">
      <c r="A890" s="39">
        <f t="shared" si="14"/>
        <v>2</v>
      </c>
      <c r="B890" s="39" t="s">
        <v>1385</v>
      </c>
      <c r="C890" s="7" t="s">
        <v>1127</v>
      </c>
      <c r="D890" s="8" t="s">
        <v>696</v>
      </c>
      <c r="E890" s="25" t="s">
        <v>1127</v>
      </c>
      <c r="F890" s="18"/>
      <c r="G890" s="18"/>
      <c r="H890" s="17"/>
    </row>
    <row r="891" spans="1:8" s="3" customFormat="1" ht="24">
      <c r="A891" s="41">
        <f t="shared" si="14"/>
        <v>2</v>
      </c>
      <c r="B891" s="41" t="s">
        <v>1386</v>
      </c>
      <c r="C891" s="1" t="s">
        <v>1753</v>
      </c>
      <c r="D891" s="2" t="s">
        <v>319</v>
      </c>
      <c r="E891" s="26" t="s">
        <v>1227</v>
      </c>
      <c r="F891" s="19">
        <v>0</v>
      </c>
      <c r="G891" s="19"/>
      <c r="H891" s="17">
        <f>ROUND((P_2_71.e Qté)*(P_2_71.e PU),2)</f>
        <v>0</v>
      </c>
    </row>
    <row r="892" spans="1:8" s="40" customFormat="1" ht="36">
      <c r="A892" s="39">
        <f t="shared" si="14"/>
        <v>2</v>
      </c>
      <c r="B892" s="39" t="s">
        <v>1385</v>
      </c>
      <c r="C892" s="7" t="s">
        <v>977</v>
      </c>
      <c r="D892" s="8" t="s">
        <v>1319</v>
      </c>
      <c r="E892" s="25" t="s">
        <v>1127</v>
      </c>
      <c r="F892" s="18"/>
      <c r="G892" s="18"/>
      <c r="H892" s="17"/>
    </row>
    <row r="893" spans="1:8" s="40" customFormat="1" ht="48">
      <c r="A893" s="39">
        <f t="shared" si="14"/>
        <v>2</v>
      </c>
      <c r="B893" s="39" t="s">
        <v>1385</v>
      </c>
      <c r="C893" s="7" t="s">
        <v>1127</v>
      </c>
      <c r="D893" s="8" t="s">
        <v>697</v>
      </c>
      <c r="E893" s="25" t="s">
        <v>1127</v>
      </c>
      <c r="F893" s="18"/>
      <c r="G893" s="18"/>
      <c r="H893" s="17"/>
    </row>
    <row r="894" spans="1:8" s="40" customFormat="1" ht="36">
      <c r="A894" s="39">
        <f t="shared" si="14"/>
        <v>2</v>
      </c>
      <c r="B894" s="39" t="s">
        <v>1385</v>
      </c>
      <c r="C894" s="7" t="s">
        <v>1127</v>
      </c>
      <c r="D894" s="8" t="s">
        <v>320</v>
      </c>
      <c r="E894" s="25" t="s">
        <v>1127</v>
      </c>
      <c r="F894" s="18"/>
      <c r="G894" s="18"/>
      <c r="H894" s="17"/>
    </row>
    <row r="895" spans="1:8" s="40" customFormat="1" ht="24">
      <c r="A895" s="39">
        <f t="shared" si="14"/>
        <v>2</v>
      </c>
      <c r="B895" s="39" t="s">
        <v>1385</v>
      </c>
      <c r="C895" s="7" t="s">
        <v>1127</v>
      </c>
      <c r="D895" s="8" t="s">
        <v>233</v>
      </c>
      <c r="E895" s="25" t="s">
        <v>1127</v>
      </c>
      <c r="F895" s="18"/>
      <c r="G895" s="18"/>
      <c r="H895" s="17"/>
    </row>
    <row r="896" spans="1:8" s="40" customFormat="1" ht="24">
      <c r="A896" s="39">
        <f t="shared" si="14"/>
        <v>2</v>
      </c>
      <c r="B896" s="39" t="s">
        <v>1385</v>
      </c>
      <c r="C896" s="7" t="s">
        <v>1127</v>
      </c>
      <c r="D896" s="8" t="s">
        <v>321</v>
      </c>
      <c r="E896" s="25" t="s">
        <v>1127</v>
      </c>
      <c r="F896" s="18"/>
      <c r="G896" s="18"/>
      <c r="H896" s="17"/>
    </row>
    <row r="897" spans="1:8" s="40" customFormat="1" ht="12">
      <c r="A897" s="39">
        <f t="shared" si="14"/>
        <v>2</v>
      </c>
      <c r="B897" s="39" t="s">
        <v>1385</v>
      </c>
      <c r="C897" s="7" t="s">
        <v>1127</v>
      </c>
      <c r="D897" s="8" t="s">
        <v>322</v>
      </c>
      <c r="E897" s="25" t="s">
        <v>1127</v>
      </c>
      <c r="F897" s="18"/>
      <c r="G897" s="18"/>
      <c r="H897" s="17"/>
    </row>
    <row r="898" spans="1:8" s="40" customFormat="1" ht="24">
      <c r="A898" s="39">
        <f t="shared" si="14"/>
        <v>2</v>
      </c>
      <c r="B898" s="39" t="s">
        <v>1385</v>
      </c>
      <c r="C898" s="7" t="s">
        <v>1127</v>
      </c>
      <c r="D898" s="8" t="s">
        <v>309</v>
      </c>
      <c r="E898" s="25" t="s">
        <v>1127</v>
      </c>
      <c r="F898" s="18"/>
      <c r="G898" s="18"/>
      <c r="H898" s="17"/>
    </row>
    <row r="899" spans="1:8" s="40" customFormat="1" ht="12">
      <c r="A899" s="39">
        <f t="shared" si="14"/>
        <v>2</v>
      </c>
      <c r="B899" s="39" t="s">
        <v>1385</v>
      </c>
      <c r="C899" s="7" t="s">
        <v>1127</v>
      </c>
      <c r="D899" s="8" t="s">
        <v>323</v>
      </c>
      <c r="E899" s="25" t="s">
        <v>1127</v>
      </c>
      <c r="F899" s="18"/>
      <c r="G899" s="18"/>
      <c r="H899" s="17"/>
    </row>
    <row r="900" spans="1:8" s="40" customFormat="1" ht="36">
      <c r="A900" s="39">
        <f t="shared" si="14"/>
        <v>2</v>
      </c>
      <c r="B900" s="39" t="s">
        <v>1385</v>
      </c>
      <c r="C900" s="7" t="s">
        <v>1127</v>
      </c>
      <c r="D900" s="8" t="s">
        <v>324</v>
      </c>
      <c r="E900" s="25" t="s">
        <v>1127</v>
      </c>
      <c r="F900" s="18"/>
      <c r="G900" s="18"/>
      <c r="H900" s="17"/>
    </row>
    <row r="901" spans="1:8" s="40" customFormat="1" ht="24">
      <c r="A901" s="39">
        <f t="shared" si="14"/>
        <v>2</v>
      </c>
      <c r="B901" s="39" t="s">
        <v>1385</v>
      </c>
      <c r="C901" s="7" t="s">
        <v>1127</v>
      </c>
      <c r="D901" s="8" t="s">
        <v>325</v>
      </c>
      <c r="E901" s="25" t="s">
        <v>1127</v>
      </c>
      <c r="F901" s="18"/>
      <c r="G901" s="18"/>
      <c r="H901" s="17"/>
    </row>
    <row r="902" spans="1:8" s="40" customFormat="1" ht="24">
      <c r="A902" s="39">
        <f t="shared" si="14"/>
        <v>2</v>
      </c>
      <c r="B902" s="39" t="s">
        <v>1385</v>
      </c>
      <c r="C902" s="7" t="s">
        <v>1127</v>
      </c>
      <c r="D902" s="8" t="s">
        <v>326</v>
      </c>
      <c r="E902" s="25" t="s">
        <v>1127</v>
      </c>
      <c r="F902" s="18"/>
      <c r="G902" s="18"/>
      <c r="H902" s="17"/>
    </row>
    <row r="903" spans="1:8" s="40" customFormat="1" ht="12">
      <c r="A903" s="39">
        <f t="shared" si="14"/>
        <v>2</v>
      </c>
      <c r="B903" s="39" t="s">
        <v>1385</v>
      </c>
      <c r="C903" s="7" t="s">
        <v>1127</v>
      </c>
      <c r="D903" s="8" t="s">
        <v>313</v>
      </c>
      <c r="E903" s="25" t="s">
        <v>1127</v>
      </c>
      <c r="F903" s="18"/>
      <c r="G903" s="18"/>
      <c r="H903" s="17"/>
    </row>
    <row r="904" spans="1:8" s="40" customFormat="1" ht="24">
      <c r="A904" s="39">
        <f t="shared" si="14"/>
        <v>2</v>
      </c>
      <c r="B904" s="39" t="s">
        <v>1385</v>
      </c>
      <c r="C904" s="7" t="s">
        <v>1127</v>
      </c>
      <c r="D904" s="8" t="s">
        <v>327</v>
      </c>
      <c r="E904" s="25" t="s">
        <v>1127</v>
      </c>
      <c r="F904" s="18"/>
      <c r="G904" s="18"/>
      <c r="H904" s="17"/>
    </row>
    <row r="905" spans="1:8" s="40" customFormat="1" ht="12">
      <c r="A905" s="39">
        <f t="shared" si="14"/>
        <v>2</v>
      </c>
      <c r="B905" s="39" t="s">
        <v>1385</v>
      </c>
      <c r="C905" s="7" t="s">
        <v>1127</v>
      </c>
      <c r="D905" s="8" t="s">
        <v>1512</v>
      </c>
      <c r="E905" s="25" t="s">
        <v>1127</v>
      </c>
      <c r="F905" s="18"/>
      <c r="G905" s="18"/>
      <c r="H905" s="17"/>
    </row>
    <row r="906" spans="1:8" s="40" customFormat="1" ht="12">
      <c r="A906" s="39">
        <f t="shared" si="14"/>
        <v>2</v>
      </c>
      <c r="B906" s="39" t="s">
        <v>1385</v>
      </c>
      <c r="C906" s="7" t="s">
        <v>1127</v>
      </c>
      <c r="D906" s="8" t="s">
        <v>314</v>
      </c>
      <c r="E906" s="25" t="s">
        <v>1127</v>
      </c>
      <c r="F906" s="18"/>
      <c r="G906" s="18"/>
      <c r="H906" s="17"/>
    </row>
    <row r="907" spans="1:8" s="3" customFormat="1" ht="12">
      <c r="A907" s="41">
        <f t="shared" si="14"/>
        <v>2</v>
      </c>
      <c r="B907" s="41" t="s">
        <v>1386</v>
      </c>
      <c r="C907" s="1" t="s">
        <v>1754</v>
      </c>
      <c r="D907" s="2" t="s">
        <v>69</v>
      </c>
      <c r="E907" s="26" t="s">
        <v>1206</v>
      </c>
      <c r="F907" s="19">
        <v>0</v>
      </c>
      <c r="G907" s="19"/>
      <c r="H907" s="17">
        <f>ROUND((P_2_72.a Qté)*(P_2_72.a PU),2)</f>
        <v>0</v>
      </c>
    </row>
    <row r="908" spans="1:8" s="3" customFormat="1" ht="12">
      <c r="A908" s="41">
        <f t="shared" si="14"/>
        <v>2</v>
      </c>
      <c r="B908" s="41" t="s">
        <v>1386</v>
      </c>
      <c r="C908" s="1" t="s">
        <v>1755</v>
      </c>
      <c r="D908" s="2" t="s">
        <v>70</v>
      </c>
      <c r="E908" s="26" t="s">
        <v>1206</v>
      </c>
      <c r="F908" s="19">
        <v>0</v>
      </c>
      <c r="G908" s="19"/>
      <c r="H908" s="17">
        <f>ROUND((P_2_72.b Qté)*(P_2_72.b PU),2)</f>
        <v>0</v>
      </c>
    </row>
    <row r="909" spans="1:8" s="3" customFormat="1" ht="24">
      <c r="A909" s="41">
        <f t="shared" si="14"/>
        <v>2</v>
      </c>
      <c r="B909" s="41" t="s">
        <v>1386</v>
      </c>
      <c r="C909" s="1" t="s">
        <v>978</v>
      </c>
      <c r="D909" s="2" t="s">
        <v>698</v>
      </c>
      <c r="E909" s="26" t="s">
        <v>1227</v>
      </c>
      <c r="F909" s="19">
        <v>0</v>
      </c>
      <c r="G909" s="19"/>
      <c r="H909" s="17">
        <f>ROUND((P_2_73 Qté)*(P_2_73 PU),2)</f>
        <v>0</v>
      </c>
    </row>
    <row r="910" spans="1:8" s="40" customFormat="1" ht="36">
      <c r="A910" s="39">
        <f t="shared" si="14"/>
        <v>2</v>
      </c>
      <c r="B910" s="39" t="s">
        <v>1385</v>
      </c>
      <c r="C910" s="7" t="s">
        <v>1127</v>
      </c>
      <c r="D910" s="8" t="s">
        <v>849</v>
      </c>
      <c r="E910" s="25" t="s">
        <v>1127</v>
      </c>
      <c r="F910" s="18"/>
      <c r="G910" s="18"/>
      <c r="H910" s="17"/>
    </row>
    <row r="911" spans="1:8" s="40" customFormat="1" ht="24">
      <c r="A911" s="39">
        <f t="shared" si="14"/>
        <v>2</v>
      </c>
      <c r="B911" s="39" t="s">
        <v>1385</v>
      </c>
      <c r="C911" s="7" t="s">
        <v>1127</v>
      </c>
      <c r="D911" s="8" t="s">
        <v>328</v>
      </c>
      <c r="E911" s="25" t="s">
        <v>1127</v>
      </c>
      <c r="F911" s="18"/>
      <c r="G911" s="18"/>
      <c r="H911" s="17"/>
    </row>
    <row r="912" spans="1:8" s="40" customFormat="1" ht="24">
      <c r="A912" s="39">
        <f t="shared" si="14"/>
        <v>2</v>
      </c>
      <c r="B912" s="39" t="s">
        <v>1385</v>
      </c>
      <c r="C912" s="7" t="s">
        <v>1127</v>
      </c>
      <c r="D912" s="8" t="s">
        <v>329</v>
      </c>
      <c r="E912" s="25" t="s">
        <v>1127</v>
      </c>
      <c r="F912" s="18"/>
      <c r="G912" s="18"/>
      <c r="H912" s="17"/>
    </row>
    <row r="913" spans="1:8" s="40" customFormat="1" ht="24">
      <c r="A913" s="39">
        <f t="shared" si="14"/>
        <v>2</v>
      </c>
      <c r="B913" s="39" t="s">
        <v>1385</v>
      </c>
      <c r="C913" s="7" t="s">
        <v>1127</v>
      </c>
      <c r="D913" s="8" t="s">
        <v>330</v>
      </c>
      <c r="E913" s="25" t="s">
        <v>1127</v>
      </c>
      <c r="F913" s="18"/>
      <c r="G913" s="18"/>
      <c r="H913" s="17"/>
    </row>
    <row r="914" spans="1:8" s="40" customFormat="1" ht="24">
      <c r="A914" s="39">
        <f t="shared" si="14"/>
        <v>2</v>
      </c>
      <c r="B914" s="39" t="s">
        <v>1385</v>
      </c>
      <c r="C914" s="7" t="s">
        <v>1127</v>
      </c>
      <c r="D914" s="8" t="s">
        <v>331</v>
      </c>
      <c r="E914" s="25" t="s">
        <v>1127</v>
      </c>
      <c r="F914" s="18"/>
      <c r="G914" s="18"/>
      <c r="H914" s="17"/>
    </row>
    <row r="915" spans="1:8" s="40" customFormat="1" ht="36">
      <c r="A915" s="39">
        <f t="shared" si="14"/>
        <v>2</v>
      </c>
      <c r="B915" s="39" t="s">
        <v>1385</v>
      </c>
      <c r="C915" s="7" t="s">
        <v>979</v>
      </c>
      <c r="D915" s="8" t="s">
        <v>1320</v>
      </c>
      <c r="E915" s="25" t="s">
        <v>1127</v>
      </c>
      <c r="F915" s="18"/>
      <c r="G915" s="18"/>
      <c r="H915" s="17"/>
    </row>
    <row r="916" spans="1:8" s="40" customFormat="1" ht="48">
      <c r="A916" s="39">
        <f t="shared" si="14"/>
        <v>2</v>
      </c>
      <c r="B916" s="39" t="s">
        <v>1385</v>
      </c>
      <c r="C916" s="7" t="s">
        <v>1127</v>
      </c>
      <c r="D916" s="8" t="s">
        <v>850</v>
      </c>
      <c r="E916" s="25" t="s">
        <v>1127</v>
      </c>
      <c r="F916" s="18"/>
      <c r="G916" s="18"/>
      <c r="H916" s="17"/>
    </row>
    <row r="917" spans="1:8" s="40" customFormat="1" ht="36">
      <c r="A917" s="39">
        <f t="shared" si="14"/>
        <v>2</v>
      </c>
      <c r="B917" s="39" t="s">
        <v>1385</v>
      </c>
      <c r="C917" s="7" t="s">
        <v>1127</v>
      </c>
      <c r="D917" s="8" t="s">
        <v>320</v>
      </c>
      <c r="E917" s="25" t="s">
        <v>1127</v>
      </c>
      <c r="F917" s="18"/>
      <c r="G917" s="18"/>
      <c r="H917" s="17"/>
    </row>
    <row r="918" spans="1:8" s="40" customFormat="1" ht="24">
      <c r="A918" s="39">
        <f t="shared" si="14"/>
        <v>2</v>
      </c>
      <c r="B918" s="39" t="s">
        <v>1385</v>
      </c>
      <c r="C918" s="7" t="s">
        <v>1127</v>
      </c>
      <c r="D918" s="8" t="s">
        <v>233</v>
      </c>
      <c r="E918" s="25" t="s">
        <v>1127</v>
      </c>
      <c r="F918" s="18"/>
      <c r="G918" s="18"/>
      <c r="H918" s="17"/>
    </row>
    <row r="919" spans="1:8" s="40" customFormat="1" ht="24">
      <c r="A919" s="39">
        <f t="shared" si="14"/>
        <v>2</v>
      </c>
      <c r="B919" s="39" t="s">
        <v>1385</v>
      </c>
      <c r="C919" s="7" t="s">
        <v>1127</v>
      </c>
      <c r="D919" s="8" t="s">
        <v>321</v>
      </c>
      <c r="E919" s="25" t="s">
        <v>1127</v>
      </c>
      <c r="F919" s="18"/>
      <c r="G919" s="18"/>
      <c r="H919" s="17"/>
    </row>
    <row r="920" spans="1:8" s="40" customFormat="1" ht="24">
      <c r="A920" s="39">
        <f t="shared" si="14"/>
        <v>2</v>
      </c>
      <c r="B920" s="39" t="s">
        <v>1385</v>
      </c>
      <c r="C920" s="7" t="s">
        <v>1127</v>
      </c>
      <c r="D920" s="8" t="s">
        <v>309</v>
      </c>
      <c r="E920" s="25" t="s">
        <v>1127</v>
      </c>
      <c r="F920" s="18"/>
      <c r="G920" s="18"/>
      <c r="H920" s="17"/>
    </row>
    <row r="921" spans="1:8" s="40" customFormat="1" ht="12">
      <c r="A921" s="39">
        <f t="shared" si="14"/>
        <v>2</v>
      </c>
      <c r="B921" s="39" t="s">
        <v>1385</v>
      </c>
      <c r="C921" s="7" t="s">
        <v>1127</v>
      </c>
      <c r="D921" s="8" t="s">
        <v>322</v>
      </c>
      <c r="E921" s="25" t="s">
        <v>1127</v>
      </c>
      <c r="F921" s="18"/>
      <c r="G921" s="18"/>
      <c r="H921" s="17"/>
    </row>
    <row r="922" spans="1:8" s="40" customFormat="1" ht="12">
      <c r="A922" s="39">
        <f t="shared" si="14"/>
        <v>2</v>
      </c>
      <c r="B922" s="39" t="s">
        <v>1385</v>
      </c>
      <c r="C922" s="7" t="s">
        <v>1127</v>
      </c>
      <c r="D922" s="8" t="s">
        <v>332</v>
      </c>
      <c r="E922" s="25" t="s">
        <v>1127</v>
      </c>
      <c r="F922" s="18"/>
      <c r="G922" s="18"/>
      <c r="H922" s="17"/>
    </row>
    <row r="923" spans="1:8" s="40" customFormat="1" ht="24">
      <c r="A923" s="39">
        <f t="shared" si="14"/>
        <v>2</v>
      </c>
      <c r="B923" s="39" t="s">
        <v>1385</v>
      </c>
      <c r="C923" s="7" t="s">
        <v>1127</v>
      </c>
      <c r="D923" s="8" t="s">
        <v>333</v>
      </c>
      <c r="E923" s="25" t="s">
        <v>1127</v>
      </c>
      <c r="F923" s="18"/>
      <c r="G923" s="18"/>
      <c r="H923" s="17"/>
    </row>
    <row r="924" spans="1:8" s="40" customFormat="1" ht="24">
      <c r="A924" s="39">
        <f t="shared" si="14"/>
        <v>2</v>
      </c>
      <c r="B924" s="39" t="s">
        <v>1385</v>
      </c>
      <c r="C924" s="7" t="s">
        <v>1127</v>
      </c>
      <c r="D924" s="8" t="s">
        <v>325</v>
      </c>
      <c r="E924" s="25" t="s">
        <v>1127</v>
      </c>
      <c r="F924" s="18"/>
      <c r="G924" s="18"/>
      <c r="H924" s="17"/>
    </row>
    <row r="925" spans="1:8" s="40" customFormat="1" ht="24">
      <c r="A925" s="39">
        <f t="shared" si="14"/>
        <v>2</v>
      </c>
      <c r="B925" s="39" t="s">
        <v>1385</v>
      </c>
      <c r="C925" s="7" t="s">
        <v>1127</v>
      </c>
      <c r="D925" s="8" t="s">
        <v>326</v>
      </c>
      <c r="E925" s="25" t="s">
        <v>1127</v>
      </c>
      <c r="F925" s="18"/>
      <c r="G925" s="18"/>
      <c r="H925" s="17"/>
    </row>
    <row r="926" spans="1:8" s="40" customFormat="1" ht="12">
      <c r="A926" s="39">
        <f t="shared" si="14"/>
        <v>2</v>
      </c>
      <c r="B926" s="39" t="s">
        <v>1385</v>
      </c>
      <c r="C926" s="7" t="s">
        <v>1127</v>
      </c>
      <c r="D926" s="8" t="s">
        <v>313</v>
      </c>
      <c r="E926" s="25" t="s">
        <v>1127</v>
      </c>
      <c r="F926" s="18"/>
      <c r="G926" s="18"/>
      <c r="H926" s="17"/>
    </row>
    <row r="927" spans="1:8" s="40" customFormat="1" ht="24">
      <c r="A927" s="39">
        <f t="shared" si="14"/>
        <v>2</v>
      </c>
      <c r="B927" s="39" t="s">
        <v>1385</v>
      </c>
      <c r="C927" s="7" t="s">
        <v>1127</v>
      </c>
      <c r="D927" s="8" t="s">
        <v>327</v>
      </c>
      <c r="E927" s="25" t="s">
        <v>1127</v>
      </c>
      <c r="F927" s="18"/>
      <c r="G927" s="18"/>
      <c r="H927" s="17"/>
    </row>
    <row r="928" spans="1:8" s="40" customFormat="1" ht="12">
      <c r="A928" s="39">
        <f t="shared" si="14"/>
        <v>2</v>
      </c>
      <c r="B928" s="39" t="s">
        <v>1385</v>
      </c>
      <c r="C928" s="7" t="s">
        <v>1127</v>
      </c>
      <c r="D928" s="8" t="s">
        <v>1513</v>
      </c>
      <c r="E928" s="25" t="s">
        <v>1127</v>
      </c>
      <c r="F928" s="18"/>
      <c r="G928" s="18"/>
      <c r="H928" s="17"/>
    </row>
    <row r="929" spans="1:8" s="40" customFormat="1" ht="12">
      <c r="A929" s="39">
        <f t="shared" si="14"/>
        <v>2</v>
      </c>
      <c r="B929" s="39" t="s">
        <v>1385</v>
      </c>
      <c r="C929" s="7" t="s">
        <v>1127</v>
      </c>
      <c r="D929" s="8" t="s">
        <v>314</v>
      </c>
      <c r="E929" s="25" t="s">
        <v>1127</v>
      </c>
      <c r="F929" s="18"/>
      <c r="G929" s="18"/>
      <c r="H929" s="17"/>
    </row>
    <row r="930" spans="1:8" s="3" customFormat="1" ht="12">
      <c r="A930" s="41">
        <f t="shared" si="14"/>
        <v>2</v>
      </c>
      <c r="B930" s="41" t="s">
        <v>1386</v>
      </c>
      <c r="C930" s="1" t="s">
        <v>1756</v>
      </c>
      <c r="D930" s="2" t="s">
        <v>334</v>
      </c>
      <c r="E930" s="26" t="s">
        <v>1206</v>
      </c>
      <c r="F930" s="19">
        <v>0</v>
      </c>
      <c r="G930" s="19"/>
      <c r="H930" s="17">
        <f>ROUND((P_2_74.a Qté)*(P_2_74.a PU),2)</f>
        <v>0</v>
      </c>
    </row>
    <row r="931" spans="1:8" s="3" customFormat="1" ht="12">
      <c r="A931" s="41">
        <f t="shared" si="14"/>
        <v>2</v>
      </c>
      <c r="B931" s="41" t="s">
        <v>1386</v>
      </c>
      <c r="C931" s="1" t="s">
        <v>1757</v>
      </c>
      <c r="D931" s="2" t="s">
        <v>73</v>
      </c>
      <c r="E931" s="26" t="s">
        <v>1206</v>
      </c>
      <c r="F931" s="19">
        <v>0</v>
      </c>
      <c r="G931" s="19"/>
      <c r="H931" s="17">
        <f>ROUND((P_2_74.b Qté)*(P_2_74.b PU),2)</f>
        <v>0</v>
      </c>
    </row>
    <row r="932" spans="1:8" s="3" customFormat="1" ht="12">
      <c r="A932" s="41">
        <f t="shared" si="14"/>
        <v>2</v>
      </c>
      <c r="B932" s="41" t="s">
        <v>1386</v>
      </c>
      <c r="C932" s="1" t="s">
        <v>1758</v>
      </c>
      <c r="D932" s="2" t="s">
        <v>74</v>
      </c>
      <c r="E932" s="26" t="s">
        <v>1206</v>
      </c>
      <c r="F932" s="19">
        <v>0</v>
      </c>
      <c r="G932" s="19"/>
      <c r="H932" s="17">
        <f>ROUND((P_2_74.c Qté)*(P_2_74.c PU),2)</f>
        <v>0</v>
      </c>
    </row>
    <row r="933" spans="1:8" s="40" customFormat="1" ht="36">
      <c r="A933" s="39">
        <f t="shared" si="14"/>
        <v>2</v>
      </c>
      <c r="B933" s="39" t="s">
        <v>1385</v>
      </c>
      <c r="C933" s="7" t="s">
        <v>980</v>
      </c>
      <c r="D933" s="8" t="s">
        <v>851</v>
      </c>
      <c r="E933" s="25" t="s">
        <v>1127</v>
      </c>
      <c r="F933" s="18"/>
      <c r="G933" s="18"/>
      <c r="H933" s="17"/>
    </row>
    <row r="934" spans="1:8" s="40" customFormat="1" ht="36">
      <c r="A934" s="39">
        <f t="shared" si="14"/>
        <v>2</v>
      </c>
      <c r="B934" s="39" t="s">
        <v>1385</v>
      </c>
      <c r="C934" s="7" t="s">
        <v>1127</v>
      </c>
      <c r="D934" s="8" t="s">
        <v>852</v>
      </c>
      <c r="E934" s="25" t="s">
        <v>1127</v>
      </c>
      <c r="F934" s="18"/>
      <c r="G934" s="18"/>
      <c r="H934" s="17"/>
    </row>
    <row r="935" spans="1:8" s="40" customFormat="1" ht="36">
      <c r="A935" s="39">
        <f t="shared" si="14"/>
        <v>2</v>
      </c>
      <c r="B935" s="39" t="s">
        <v>1385</v>
      </c>
      <c r="C935" s="7" t="s">
        <v>1127</v>
      </c>
      <c r="D935" s="8" t="s">
        <v>320</v>
      </c>
      <c r="E935" s="25" t="s">
        <v>1127</v>
      </c>
      <c r="F935" s="18"/>
      <c r="G935" s="18"/>
      <c r="H935" s="17"/>
    </row>
    <row r="936" spans="1:8" s="40" customFormat="1" ht="24">
      <c r="A936" s="39">
        <f t="shared" si="14"/>
        <v>2</v>
      </c>
      <c r="B936" s="39" t="s">
        <v>1385</v>
      </c>
      <c r="C936" s="7" t="s">
        <v>1127</v>
      </c>
      <c r="D936" s="8" t="s">
        <v>233</v>
      </c>
      <c r="E936" s="25" t="s">
        <v>1127</v>
      </c>
      <c r="F936" s="18"/>
      <c r="G936" s="18"/>
      <c r="H936" s="17"/>
    </row>
    <row r="937" spans="1:8" s="40" customFormat="1" ht="24">
      <c r="A937" s="39">
        <f t="shared" si="14"/>
        <v>2</v>
      </c>
      <c r="B937" s="39" t="s">
        <v>1385</v>
      </c>
      <c r="C937" s="7" t="s">
        <v>1127</v>
      </c>
      <c r="D937" s="8" t="s">
        <v>321</v>
      </c>
      <c r="E937" s="25" t="s">
        <v>1127</v>
      </c>
      <c r="F937" s="18"/>
      <c r="G937" s="18"/>
      <c r="H937" s="17"/>
    </row>
    <row r="938" spans="1:8" s="40" customFormat="1" ht="48">
      <c r="A938" s="39">
        <f t="shared" si="14"/>
        <v>2</v>
      </c>
      <c r="B938" s="39" t="s">
        <v>1385</v>
      </c>
      <c r="C938" s="7" t="s">
        <v>1127</v>
      </c>
      <c r="D938" s="8" t="s">
        <v>335</v>
      </c>
      <c r="E938" s="25" t="s">
        <v>1127</v>
      </c>
      <c r="F938" s="18"/>
      <c r="G938" s="18"/>
      <c r="H938" s="17"/>
    </row>
    <row r="939" spans="1:8" s="40" customFormat="1" ht="12">
      <c r="A939" s="39">
        <f t="shared" si="14"/>
        <v>2</v>
      </c>
      <c r="B939" s="39" t="s">
        <v>1385</v>
      </c>
      <c r="C939" s="7" t="s">
        <v>1127</v>
      </c>
      <c r="D939" s="8" t="s">
        <v>322</v>
      </c>
      <c r="E939" s="25" t="s">
        <v>1127</v>
      </c>
      <c r="F939" s="18"/>
      <c r="G939" s="18"/>
      <c r="H939" s="17"/>
    </row>
    <row r="940" spans="1:8" s="40" customFormat="1" ht="24">
      <c r="A940" s="39">
        <f t="shared" si="14"/>
        <v>2</v>
      </c>
      <c r="B940" s="39" t="s">
        <v>1385</v>
      </c>
      <c r="C940" s="7" t="s">
        <v>1127</v>
      </c>
      <c r="D940" s="8" t="s">
        <v>336</v>
      </c>
      <c r="E940" s="25" t="s">
        <v>1127</v>
      </c>
      <c r="F940" s="18"/>
      <c r="G940" s="18"/>
      <c r="H940" s="17"/>
    </row>
    <row r="941" spans="1:8" s="40" customFormat="1" ht="24">
      <c r="A941" s="39">
        <f t="shared" si="14"/>
        <v>2</v>
      </c>
      <c r="B941" s="39" t="s">
        <v>1385</v>
      </c>
      <c r="C941" s="7" t="s">
        <v>1127</v>
      </c>
      <c r="D941" s="8" t="s">
        <v>326</v>
      </c>
      <c r="E941" s="25" t="s">
        <v>1127</v>
      </c>
      <c r="F941" s="18"/>
      <c r="G941" s="18"/>
      <c r="H941" s="17"/>
    </row>
    <row r="942" spans="1:8" s="40" customFormat="1" ht="12">
      <c r="A942" s="39">
        <f t="shared" si="14"/>
        <v>2</v>
      </c>
      <c r="B942" s="39" t="s">
        <v>1385</v>
      </c>
      <c r="C942" s="7" t="s">
        <v>1127</v>
      </c>
      <c r="D942" s="8" t="s">
        <v>313</v>
      </c>
      <c r="E942" s="25" t="s">
        <v>1127</v>
      </c>
      <c r="F942" s="18"/>
      <c r="G942" s="18"/>
      <c r="H942" s="17"/>
    </row>
    <row r="943" spans="1:8" s="40" customFormat="1" ht="24">
      <c r="A943" s="39">
        <f t="shared" si="14"/>
        <v>2</v>
      </c>
      <c r="B943" s="39" t="s">
        <v>1385</v>
      </c>
      <c r="C943" s="7" t="s">
        <v>1127</v>
      </c>
      <c r="D943" s="8" t="s">
        <v>327</v>
      </c>
      <c r="E943" s="25" t="s">
        <v>1127</v>
      </c>
      <c r="F943" s="18"/>
      <c r="G943" s="18"/>
      <c r="H943" s="17"/>
    </row>
    <row r="944" spans="1:8" s="40" customFormat="1" ht="12">
      <c r="A944" s="39">
        <f aca="true" t="shared" si="15" ref="A944:A1007">A943</f>
        <v>2</v>
      </c>
      <c r="B944" s="39" t="s">
        <v>1385</v>
      </c>
      <c r="C944" s="7" t="s">
        <v>1127</v>
      </c>
      <c r="D944" s="8" t="s">
        <v>853</v>
      </c>
      <c r="E944" s="25" t="s">
        <v>1127</v>
      </c>
      <c r="F944" s="18"/>
      <c r="G944" s="18"/>
      <c r="H944" s="17"/>
    </row>
    <row r="945" spans="1:8" s="40" customFormat="1" ht="12">
      <c r="A945" s="39">
        <f t="shared" si="15"/>
        <v>2</v>
      </c>
      <c r="B945" s="39" t="s">
        <v>1385</v>
      </c>
      <c r="C945" s="7" t="s">
        <v>1127</v>
      </c>
      <c r="D945" s="8" t="s">
        <v>314</v>
      </c>
      <c r="E945" s="25" t="s">
        <v>1127</v>
      </c>
      <c r="F945" s="18"/>
      <c r="G945" s="18"/>
      <c r="H945" s="17"/>
    </row>
    <row r="946" spans="1:8" s="3" customFormat="1" ht="12">
      <c r="A946" s="41">
        <f t="shared" si="15"/>
        <v>2</v>
      </c>
      <c r="B946" s="41" t="s">
        <v>1386</v>
      </c>
      <c r="C946" s="1" t="s">
        <v>1759</v>
      </c>
      <c r="D946" s="2" t="s">
        <v>72</v>
      </c>
      <c r="E946" s="26" t="s">
        <v>1206</v>
      </c>
      <c r="F946" s="19">
        <v>0</v>
      </c>
      <c r="G946" s="19"/>
      <c r="H946" s="17">
        <f>ROUND((P_2_75.a Qté)*(P_2_75.a PU),2)</f>
        <v>0</v>
      </c>
    </row>
    <row r="947" spans="1:8" s="3" customFormat="1" ht="12">
      <c r="A947" s="41">
        <f t="shared" si="15"/>
        <v>2</v>
      </c>
      <c r="B947" s="41" t="s">
        <v>1386</v>
      </c>
      <c r="C947" s="1" t="s">
        <v>1760</v>
      </c>
      <c r="D947" s="2" t="s">
        <v>73</v>
      </c>
      <c r="E947" s="26" t="s">
        <v>1206</v>
      </c>
      <c r="F947" s="19">
        <v>0</v>
      </c>
      <c r="G947" s="19"/>
      <c r="H947" s="17">
        <f>ROUND((P_2_75.b Qté)*(P_2_75.b PU),2)</f>
        <v>0</v>
      </c>
    </row>
    <row r="948" spans="1:8" s="3" customFormat="1" ht="12">
      <c r="A948" s="41">
        <f t="shared" si="15"/>
        <v>2</v>
      </c>
      <c r="B948" s="41" t="s">
        <v>1386</v>
      </c>
      <c r="C948" s="1" t="s">
        <v>1761</v>
      </c>
      <c r="D948" s="2" t="s">
        <v>74</v>
      </c>
      <c r="E948" s="26" t="s">
        <v>1206</v>
      </c>
      <c r="F948" s="19">
        <v>0</v>
      </c>
      <c r="G948" s="19"/>
      <c r="H948" s="17">
        <f>ROUND((P_2_75.c Qté)*(P_2_75.c PU),2)</f>
        <v>0</v>
      </c>
    </row>
    <row r="949" spans="1:8" s="40" customFormat="1" ht="24">
      <c r="A949" s="39">
        <f t="shared" si="15"/>
        <v>2</v>
      </c>
      <c r="B949" s="39" t="s">
        <v>1385</v>
      </c>
      <c r="C949" s="7" t="s">
        <v>981</v>
      </c>
      <c r="D949" s="8" t="s">
        <v>854</v>
      </c>
      <c r="E949" s="25" t="s">
        <v>1127</v>
      </c>
      <c r="F949" s="18"/>
      <c r="G949" s="18"/>
      <c r="H949" s="17"/>
    </row>
    <row r="950" spans="1:8" s="40" customFormat="1" ht="48">
      <c r="A950" s="39">
        <f t="shared" si="15"/>
        <v>2</v>
      </c>
      <c r="B950" s="39" t="s">
        <v>1385</v>
      </c>
      <c r="C950" s="7" t="s">
        <v>1127</v>
      </c>
      <c r="D950" s="8" t="s">
        <v>855</v>
      </c>
      <c r="E950" s="25" t="s">
        <v>1127</v>
      </c>
      <c r="F950" s="18"/>
      <c r="G950" s="18"/>
      <c r="H950" s="17"/>
    </row>
    <row r="951" spans="1:8" s="40" customFormat="1" ht="36">
      <c r="A951" s="39">
        <f t="shared" si="15"/>
        <v>2</v>
      </c>
      <c r="B951" s="39" t="s">
        <v>1385</v>
      </c>
      <c r="C951" s="7" t="s">
        <v>1127</v>
      </c>
      <c r="D951" s="8" t="s">
        <v>320</v>
      </c>
      <c r="E951" s="25" t="s">
        <v>1127</v>
      </c>
      <c r="F951" s="18"/>
      <c r="G951" s="18"/>
      <c r="H951" s="17"/>
    </row>
    <row r="952" spans="1:8" s="40" customFormat="1" ht="24">
      <c r="A952" s="39">
        <f t="shared" si="15"/>
        <v>2</v>
      </c>
      <c r="B952" s="39" t="s">
        <v>1385</v>
      </c>
      <c r="C952" s="7" t="s">
        <v>1127</v>
      </c>
      <c r="D952" s="8" t="s">
        <v>233</v>
      </c>
      <c r="E952" s="25" t="s">
        <v>1127</v>
      </c>
      <c r="F952" s="18"/>
      <c r="G952" s="18"/>
      <c r="H952" s="17"/>
    </row>
    <row r="953" spans="1:8" s="40" customFormat="1" ht="24">
      <c r="A953" s="39">
        <f t="shared" si="15"/>
        <v>2</v>
      </c>
      <c r="B953" s="39" t="s">
        <v>1385</v>
      </c>
      <c r="C953" s="7" t="s">
        <v>1127</v>
      </c>
      <c r="D953" s="8" t="s">
        <v>321</v>
      </c>
      <c r="E953" s="25" t="s">
        <v>1127</v>
      </c>
      <c r="F953" s="18"/>
      <c r="G953" s="18"/>
      <c r="H953" s="17"/>
    </row>
    <row r="954" spans="1:8" s="40" customFormat="1" ht="24">
      <c r="A954" s="39">
        <f t="shared" si="15"/>
        <v>2</v>
      </c>
      <c r="B954" s="39" t="s">
        <v>1385</v>
      </c>
      <c r="C954" s="7" t="s">
        <v>1127</v>
      </c>
      <c r="D954" s="8" t="s">
        <v>309</v>
      </c>
      <c r="E954" s="25" t="s">
        <v>1127</v>
      </c>
      <c r="F954" s="18"/>
      <c r="G954" s="18"/>
      <c r="H954" s="17"/>
    </row>
    <row r="955" spans="1:8" s="40" customFormat="1" ht="12">
      <c r="A955" s="39">
        <f t="shared" si="15"/>
        <v>2</v>
      </c>
      <c r="B955" s="39" t="s">
        <v>1385</v>
      </c>
      <c r="C955" s="7" t="s">
        <v>1127</v>
      </c>
      <c r="D955" s="8" t="s">
        <v>322</v>
      </c>
      <c r="E955" s="25" t="s">
        <v>1127</v>
      </c>
      <c r="F955" s="18"/>
      <c r="G955" s="18"/>
      <c r="H955" s="17"/>
    </row>
    <row r="956" spans="1:8" s="40" customFormat="1" ht="12">
      <c r="A956" s="39">
        <f t="shared" si="15"/>
        <v>2</v>
      </c>
      <c r="B956" s="39" t="s">
        <v>1385</v>
      </c>
      <c r="C956" s="7" t="s">
        <v>1127</v>
      </c>
      <c r="D956" s="8" t="s">
        <v>337</v>
      </c>
      <c r="E956" s="25" t="s">
        <v>1127</v>
      </c>
      <c r="F956" s="18"/>
      <c r="G956" s="18"/>
      <c r="H956" s="17"/>
    </row>
    <row r="957" spans="1:8" s="40" customFormat="1" ht="24">
      <c r="A957" s="39">
        <f t="shared" si="15"/>
        <v>2</v>
      </c>
      <c r="B957" s="39" t="s">
        <v>1385</v>
      </c>
      <c r="C957" s="7" t="s">
        <v>1127</v>
      </c>
      <c r="D957" s="8" t="s">
        <v>326</v>
      </c>
      <c r="E957" s="25" t="s">
        <v>1127</v>
      </c>
      <c r="F957" s="18"/>
      <c r="G957" s="18"/>
      <c r="H957" s="17"/>
    </row>
    <row r="958" spans="1:8" s="40" customFormat="1" ht="24">
      <c r="A958" s="39">
        <f t="shared" si="15"/>
        <v>2</v>
      </c>
      <c r="B958" s="39" t="s">
        <v>1385</v>
      </c>
      <c r="C958" s="7" t="s">
        <v>1127</v>
      </c>
      <c r="D958" s="8" t="s">
        <v>327</v>
      </c>
      <c r="E958" s="25" t="s">
        <v>1127</v>
      </c>
      <c r="F958" s="18"/>
      <c r="G958" s="18"/>
      <c r="H958" s="17"/>
    </row>
    <row r="959" spans="1:8" s="40" customFormat="1" ht="12">
      <c r="A959" s="39">
        <f t="shared" si="15"/>
        <v>2</v>
      </c>
      <c r="B959" s="39" t="s">
        <v>1385</v>
      </c>
      <c r="C959" s="7" t="s">
        <v>1127</v>
      </c>
      <c r="D959" s="8" t="s">
        <v>338</v>
      </c>
      <c r="E959" s="25" t="s">
        <v>1127</v>
      </c>
      <c r="F959" s="18"/>
      <c r="G959" s="18"/>
      <c r="H959" s="17"/>
    </row>
    <row r="960" spans="1:8" s="3" customFormat="1" ht="12">
      <c r="A960" s="41">
        <f t="shared" si="15"/>
        <v>2</v>
      </c>
      <c r="B960" s="41" t="s">
        <v>1386</v>
      </c>
      <c r="C960" s="1" t="s">
        <v>1762</v>
      </c>
      <c r="D960" s="2" t="s">
        <v>79</v>
      </c>
      <c r="E960" s="26" t="s">
        <v>1206</v>
      </c>
      <c r="F960" s="19">
        <v>0</v>
      </c>
      <c r="G960" s="19"/>
      <c r="H960" s="17">
        <f>ROUND((P_2_76.a Qté)*(P_2_76.a PU),2)</f>
        <v>0</v>
      </c>
    </row>
    <row r="961" spans="1:8" s="3" customFormat="1" ht="12">
      <c r="A961" s="41">
        <f t="shared" si="15"/>
        <v>2</v>
      </c>
      <c r="B961" s="41" t="s">
        <v>1386</v>
      </c>
      <c r="C961" s="1" t="s">
        <v>1763</v>
      </c>
      <c r="D961" s="2" t="s">
        <v>80</v>
      </c>
      <c r="E961" s="26" t="s">
        <v>1206</v>
      </c>
      <c r="F961" s="19">
        <v>0</v>
      </c>
      <c r="G961" s="19"/>
      <c r="H961" s="17">
        <f>ROUND((P_2_76.b Qté)*(P_2_76.b PU),2)</f>
        <v>0</v>
      </c>
    </row>
    <row r="962" spans="1:8" s="40" customFormat="1" ht="12">
      <c r="A962" s="39">
        <f t="shared" si="15"/>
        <v>2</v>
      </c>
      <c r="B962" s="39" t="s">
        <v>1385</v>
      </c>
      <c r="C962" s="7" t="s">
        <v>1127</v>
      </c>
      <c r="D962" s="8" t="s">
        <v>856</v>
      </c>
      <c r="E962" s="25" t="s">
        <v>1127</v>
      </c>
      <c r="F962" s="18"/>
      <c r="G962" s="18"/>
      <c r="H962" s="17"/>
    </row>
    <row r="963" spans="1:8" s="40" customFormat="1" ht="24">
      <c r="A963" s="39">
        <f t="shared" si="15"/>
        <v>2</v>
      </c>
      <c r="B963" s="39" t="s">
        <v>1385</v>
      </c>
      <c r="C963" s="7" t="s">
        <v>982</v>
      </c>
      <c r="D963" s="8" t="s">
        <v>857</v>
      </c>
      <c r="E963" s="25" t="s">
        <v>1127</v>
      </c>
      <c r="F963" s="18"/>
      <c r="G963" s="18"/>
      <c r="H963" s="17"/>
    </row>
    <row r="964" spans="1:8" s="40" customFormat="1" ht="24">
      <c r="A964" s="39">
        <f t="shared" si="15"/>
        <v>2</v>
      </c>
      <c r="B964" s="39" t="s">
        <v>1385</v>
      </c>
      <c r="C964" s="7" t="s">
        <v>1127</v>
      </c>
      <c r="D964" s="8" t="s">
        <v>858</v>
      </c>
      <c r="E964" s="25" t="s">
        <v>1127</v>
      </c>
      <c r="F964" s="18"/>
      <c r="G964" s="18"/>
      <c r="H964" s="17"/>
    </row>
    <row r="965" spans="1:8" s="40" customFormat="1" ht="36">
      <c r="A965" s="39">
        <f t="shared" si="15"/>
        <v>2</v>
      </c>
      <c r="B965" s="39" t="s">
        <v>1385</v>
      </c>
      <c r="C965" s="7" t="s">
        <v>1127</v>
      </c>
      <c r="D965" s="8" t="s">
        <v>339</v>
      </c>
      <c r="E965" s="25" t="s">
        <v>1127</v>
      </c>
      <c r="F965" s="18"/>
      <c r="G965" s="18"/>
      <c r="H965" s="17"/>
    </row>
    <row r="966" spans="1:8" s="40" customFormat="1" ht="24">
      <c r="A966" s="39">
        <f t="shared" si="15"/>
        <v>2</v>
      </c>
      <c r="B966" s="39" t="s">
        <v>1385</v>
      </c>
      <c r="C966" s="7" t="s">
        <v>1127</v>
      </c>
      <c r="D966" s="8" t="s">
        <v>233</v>
      </c>
      <c r="E966" s="25" t="s">
        <v>1127</v>
      </c>
      <c r="F966" s="18"/>
      <c r="G966" s="18"/>
      <c r="H966" s="17"/>
    </row>
    <row r="967" spans="1:8" s="40" customFormat="1" ht="24">
      <c r="A967" s="39">
        <f t="shared" si="15"/>
        <v>2</v>
      </c>
      <c r="B967" s="39" t="s">
        <v>1385</v>
      </c>
      <c r="C967" s="7" t="s">
        <v>1127</v>
      </c>
      <c r="D967" s="8" t="s">
        <v>340</v>
      </c>
      <c r="E967" s="25" t="s">
        <v>1127</v>
      </c>
      <c r="F967" s="18"/>
      <c r="G967" s="18"/>
      <c r="H967" s="17"/>
    </row>
    <row r="968" spans="1:8" s="40" customFormat="1" ht="12">
      <c r="A968" s="39">
        <f t="shared" si="15"/>
        <v>2</v>
      </c>
      <c r="B968" s="39" t="s">
        <v>1385</v>
      </c>
      <c r="C968" s="7" t="s">
        <v>1127</v>
      </c>
      <c r="D968" s="8" t="s">
        <v>322</v>
      </c>
      <c r="E968" s="25" t="s">
        <v>1127</v>
      </c>
      <c r="F968" s="18"/>
      <c r="G968" s="18"/>
      <c r="H968" s="17"/>
    </row>
    <row r="969" spans="1:8" s="40" customFormat="1" ht="12">
      <c r="A969" s="39">
        <f t="shared" si="15"/>
        <v>2</v>
      </c>
      <c r="B969" s="39" t="s">
        <v>1385</v>
      </c>
      <c r="C969" s="7" t="s">
        <v>1127</v>
      </c>
      <c r="D969" s="8" t="s">
        <v>341</v>
      </c>
      <c r="E969" s="25" t="s">
        <v>1127</v>
      </c>
      <c r="F969" s="18"/>
      <c r="G969" s="18"/>
      <c r="H969" s="17"/>
    </row>
    <row r="970" spans="1:8" s="40" customFormat="1" ht="24">
      <c r="A970" s="39">
        <f t="shared" si="15"/>
        <v>2</v>
      </c>
      <c r="B970" s="39" t="s">
        <v>1385</v>
      </c>
      <c r="C970" s="7" t="s">
        <v>1127</v>
      </c>
      <c r="D970" s="8" t="s">
        <v>327</v>
      </c>
      <c r="E970" s="25" t="s">
        <v>1127</v>
      </c>
      <c r="F970" s="18"/>
      <c r="G970" s="18"/>
      <c r="H970" s="17"/>
    </row>
    <row r="971" spans="1:8" s="40" customFormat="1" ht="24">
      <c r="A971" s="39">
        <f t="shared" si="15"/>
        <v>2</v>
      </c>
      <c r="B971" s="39" t="s">
        <v>1385</v>
      </c>
      <c r="C971" s="7" t="s">
        <v>1127</v>
      </c>
      <c r="D971" s="8" t="s">
        <v>342</v>
      </c>
      <c r="E971" s="25" t="s">
        <v>1127</v>
      </c>
      <c r="F971" s="18"/>
      <c r="G971" s="18"/>
      <c r="H971" s="17"/>
    </row>
    <row r="972" spans="1:8" s="40" customFormat="1" ht="12">
      <c r="A972" s="39">
        <f t="shared" si="15"/>
        <v>2</v>
      </c>
      <c r="B972" s="39" t="s">
        <v>1385</v>
      </c>
      <c r="C972" s="7" t="s">
        <v>1127</v>
      </c>
      <c r="D972" s="8" t="s">
        <v>343</v>
      </c>
      <c r="E972" s="25" t="s">
        <v>1127</v>
      </c>
      <c r="F972" s="18"/>
      <c r="G972" s="18"/>
      <c r="H972" s="17"/>
    </row>
    <row r="973" spans="1:8" s="3" customFormat="1" ht="12">
      <c r="A973" s="41">
        <f t="shared" si="15"/>
        <v>2</v>
      </c>
      <c r="B973" s="41" t="s">
        <v>1386</v>
      </c>
      <c r="C973" s="1" t="s">
        <v>1764</v>
      </c>
      <c r="D973" s="2" t="s">
        <v>344</v>
      </c>
      <c r="E973" s="26" t="s">
        <v>1227</v>
      </c>
      <c r="F973" s="19">
        <v>0</v>
      </c>
      <c r="G973" s="19"/>
      <c r="H973" s="17">
        <f>ROUND((P_2_77.a Qté)*(P_2_77.a PU),2)</f>
        <v>0</v>
      </c>
    </row>
    <row r="974" spans="1:8" s="3" customFormat="1" ht="12">
      <c r="A974" s="41">
        <f t="shared" si="15"/>
        <v>2</v>
      </c>
      <c r="B974" s="41" t="s">
        <v>1386</v>
      </c>
      <c r="C974" s="1" t="s">
        <v>1765</v>
      </c>
      <c r="D974" s="2" t="s">
        <v>345</v>
      </c>
      <c r="E974" s="26" t="s">
        <v>1227</v>
      </c>
      <c r="F974" s="19">
        <v>0</v>
      </c>
      <c r="G974" s="19"/>
      <c r="H974" s="17">
        <f>ROUND((P_2_77.b Qté)*(P_2_77.b PU),2)</f>
        <v>0</v>
      </c>
    </row>
    <row r="975" spans="1:8" s="3" customFormat="1" ht="12">
      <c r="A975" s="41">
        <f t="shared" si="15"/>
        <v>2</v>
      </c>
      <c r="B975" s="41" t="s">
        <v>1386</v>
      </c>
      <c r="C975" s="1" t="s">
        <v>1766</v>
      </c>
      <c r="D975" s="2" t="s">
        <v>346</v>
      </c>
      <c r="E975" s="26" t="s">
        <v>1227</v>
      </c>
      <c r="F975" s="19">
        <v>0</v>
      </c>
      <c r="G975" s="19"/>
      <c r="H975" s="17">
        <f>ROUND((P_2_77.c Qté)*(P_2_77.c PU),2)</f>
        <v>0</v>
      </c>
    </row>
    <row r="976" spans="1:8" s="3" customFormat="1" ht="24">
      <c r="A976" s="41">
        <f t="shared" si="15"/>
        <v>2</v>
      </c>
      <c r="B976" s="41" t="s">
        <v>1386</v>
      </c>
      <c r="C976" s="1" t="s">
        <v>983</v>
      </c>
      <c r="D976" s="2" t="s">
        <v>859</v>
      </c>
      <c r="E976" s="26" t="s">
        <v>1227</v>
      </c>
      <c r="F976" s="19">
        <v>0</v>
      </c>
      <c r="G976" s="19"/>
      <c r="H976" s="17">
        <f>ROUND((P_2_78 Qté)*(P_2_78 PU),2)</f>
        <v>0</v>
      </c>
    </row>
    <row r="977" spans="1:8" s="40" customFormat="1" ht="36">
      <c r="A977" s="39">
        <f t="shared" si="15"/>
        <v>2</v>
      </c>
      <c r="B977" s="39" t="s">
        <v>1385</v>
      </c>
      <c r="C977" s="7" t="s">
        <v>1127</v>
      </c>
      <c r="D977" s="8" t="s">
        <v>860</v>
      </c>
      <c r="E977" s="25" t="s">
        <v>1127</v>
      </c>
      <c r="F977" s="18"/>
      <c r="G977" s="18"/>
      <c r="H977" s="17"/>
    </row>
    <row r="978" spans="1:8" s="40" customFormat="1" ht="24">
      <c r="A978" s="39">
        <f t="shared" si="15"/>
        <v>2</v>
      </c>
      <c r="B978" s="39" t="s">
        <v>1385</v>
      </c>
      <c r="C978" s="7" t="s">
        <v>1127</v>
      </c>
      <c r="D978" s="8" t="s">
        <v>347</v>
      </c>
      <c r="E978" s="25" t="s">
        <v>1127</v>
      </c>
      <c r="F978" s="18"/>
      <c r="G978" s="18"/>
      <c r="H978" s="17"/>
    </row>
    <row r="979" spans="1:8" s="40" customFormat="1" ht="24">
      <c r="A979" s="39">
        <f t="shared" si="15"/>
        <v>2</v>
      </c>
      <c r="B979" s="39" t="s">
        <v>1385</v>
      </c>
      <c r="C979" s="7" t="s">
        <v>1127</v>
      </c>
      <c r="D979" s="8" t="s">
        <v>348</v>
      </c>
      <c r="E979" s="25" t="s">
        <v>1127</v>
      </c>
      <c r="F979" s="18"/>
      <c r="G979" s="18"/>
      <c r="H979" s="17"/>
    </row>
    <row r="980" spans="1:8" s="40" customFormat="1" ht="24">
      <c r="A980" s="39">
        <f t="shared" si="15"/>
        <v>2</v>
      </c>
      <c r="B980" s="39" t="s">
        <v>1385</v>
      </c>
      <c r="C980" s="7" t="s">
        <v>1127</v>
      </c>
      <c r="D980" s="8" t="s">
        <v>342</v>
      </c>
      <c r="E980" s="25" t="s">
        <v>1127</v>
      </c>
      <c r="F980" s="18"/>
      <c r="G980" s="18"/>
      <c r="H980" s="17"/>
    </row>
    <row r="981" spans="1:8" s="40" customFormat="1" ht="12">
      <c r="A981" s="39">
        <f t="shared" si="15"/>
        <v>2</v>
      </c>
      <c r="B981" s="39" t="s">
        <v>1385</v>
      </c>
      <c r="C981" s="7" t="s">
        <v>1127</v>
      </c>
      <c r="D981" s="8" t="s">
        <v>343</v>
      </c>
      <c r="E981" s="25" t="s">
        <v>1127</v>
      </c>
      <c r="F981" s="18"/>
      <c r="G981" s="18"/>
      <c r="H981" s="17"/>
    </row>
    <row r="982" spans="1:8" s="40" customFormat="1" ht="12">
      <c r="A982" s="39">
        <f t="shared" si="15"/>
        <v>2</v>
      </c>
      <c r="B982" s="39" t="s">
        <v>1385</v>
      </c>
      <c r="C982" s="7" t="s">
        <v>1127</v>
      </c>
      <c r="D982" s="8" t="s">
        <v>861</v>
      </c>
      <c r="E982" s="25" t="s">
        <v>1127</v>
      </c>
      <c r="F982" s="18"/>
      <c r="G982" s="18"/>
      <c r="H982" s="17"/>
    </row>
    <row r="983" spans="1:8" s="40" customFormat="1" ht="24">
      <c r="A983" s="39">
        <f t="shared" si="15"/>
        <v>2</v>
      </c>
      <c r="B983" s="39" t="s">
        <v>1385</v>
      </c>
      <c r="C983" s="7" t="s">
        <v>1127</v>
      </c>
      <c r="D983" s="8" t="s">
        <v>862</v>
      </c>
      <c r="E983" s="25" t="s">
        <v>1127</v>
      </c>
      <c r="F983" s="18"/>
      <c r="G983" s="18"/>
      <c r="H983" s="17"/>
    </row>
    <row r="984" spans="1:8" s="40" customFormat="1" ht="24">
      <c r="A984" s="39">
        <f t="shared" si="15"/>
        <v>2</v>
      </c>
      <c r="B984" s="39" t="s">
        <v>1385</v>
      </c>
      <c r="C984" s="7" t="s">
        <v>984</v>
      </c>
      <c r="D984" s="8" t="s">
        <v>863</v>
      </c>
      <c r="E984" s="25" t="s">
        <v>1127</v>
      </c>
      <c r="F984" s="18"/>
      <c r="G984" s="18"/>
      <c r="H984" s="17"/>
    </row>
    <row r="985" spans="1:8" s="40" customFormat="1" ht="36">
      <c r="A985" s="39">
        <f t="shared" si="15"/>
        <v>2</v>
      </c>
      <c r="B985" s="39" t="s">
        <v>1385</v>
      </c>
      <c r="C985" s="7" t="s">
        <v>1127</v>
      </c>
      <c r="D985" s="8" t="s">
        <v>864</v>
      </c>
      <c r="E985" s="25" t="s">
        <v>1127</v>
      </c>
      <c r="F985" s="18"/>
      <c r="G985" s="18"/>
      <c r="H985" s="17"/>
    </row>
    <row r="986" spans="1:8" s="40" customFormat="1" ht="12">
      <c r="A986" s="39">
        <f t="shared" si="15"/>
        <v>2</v>
      </c>
      <c r="B986" s="39" t="s">
        <v>1385</v>
      </c>
      <c r="C986" s="7" t="s">
        <v>1127</v>
      </c>
      <c r="D986" s="8" t="s">
        <v>349</v>
      </c>
      <c r="E986" s="25" t="s">
        <v>1127</v>
      </c>
      <c r="F986" s="18"/>
      <c r="G986" s="18"/>
      <c r="H986" s="17"/>
    </row>
    <row r="987" spans="1:8" s="40" customFormat="1" ht="12">
      <c r="A987" s="39">
        <f t="shared" si="15"/>
        <v>2</v>
      </c>
      <c r="B987" s="39" t="s">
        <v>1385</v>
      </c>
      <c r="C987" s="7" t="s">
        <v>1127</v>
      </c>
      <c r="D987" s="8" t="s">
        <v>226</v>
      </c>
      <c r="E987" s="25" t="s">
        <v>1127</v>
      </c>
      <c r="F987" s="18"/>
      <c r="G987" s="18"/>
      <c r="H987" s="17"/>
    </row>
    <row r="988" spans="1:8" s="40" customFormat="1" ht="24">
      <c r="A988" s="39">
        <f t="shared" si="15"/>
        <v>2</v>
      </c>
      <c r="B988" s="39" t="s">
        <v>1385</v>
      </c>
      <c r="C988" s="7" t="s">
        <v>1127</v>
      </c>
      <c r="D988" s="8" t="s">
        <v>350</v>
      </c>
      <c r="E988" s="25" t="s">
        <v>1127</v>
      </c>
      <c r="F988" s="18"/>
      <c r="G988" s="18"/>
      <c r="H988" s="17"/>
    </row>
    <row r="989" spans="1:8" s="40" customFormat="1" ht="60">
      <c r="A989" s="39">
        <f t="shared" si="15"/>
        <v>2</v>
      </c>
      <c r="B989" s="39" t="s">
        <v>1385</v>
      </c>
      <c r="C989" s="7" t="s">
        <v>1127</v>
      </c>
      <c r="D989" s="8" t="s">
        <v>351</v>
      </c>
      <c r="E989" s="25" t="s">
        <v>1127</v>
      </c>
      <c r="F989" s="18"/>
      <c r="G989" s="18"/>
      <c r="H989" s="17"/>
    </row>
    <row r="990" spans="1:8" s="40" customFormat="1" ht="24">
      <c r="A990" s="39">
        <f t="shared" si="15"/>
        <v>2</v>
      </c>
      <c r="B990" s="39" t="s">
        <v>1385</v>
      </c>
      <c r="C990" s="7" t="s">
        <v>1127</v>
      </c>
      <c r="D990" s="8" t="s">
        <v>352</v>
      </c>
      <c r="E990" s="25" t="s">
        <v>1127</v>
      </c>
      <c r="F990" s="18"/>
      <c r="G990" s="18"/>
      <c r="H990" s="17"/>
    </row>
    <row r="991" spans="1:8" s="40" customFormat="1" ht="24">
      <c r="A991" s="39">
        <f t="shared" si="15"/>
        <v>2</v>
      </c>
      <c r="B991" s="39" t="s">
        <v>1385</v>
      </c>
      <c r="C991" s="7" t="s">
        <v>1127</v>
      </c>
      <c r="D991" s="8" t="s">
        <v>353</v>
      </c>
      <c r="E991" s="25" t="s">
        <v>1127</v>
      </c>
      <c r="F991" s="18"/>
      <c r="G991" s="18"/>
      <c r="H991" s="17"/>
    </row>
    <row r="992" spans="1:8" s="40" customFormat="1" ht="24">
      <c r="A992" s="39">
        <f t="shared" si="15"/>
        <v>2</v>
      </c>
      <c r="B992" s="39" t="s">
        <v>1385</v>
      </c>
      <c r="C992" s="7" t="s">
        <v>1127</v>
      </c>
      <c r="D992" s="8" t="s">
        <v>354</v>
      </c>
      <c r="E992" s="25" t="s">
        <v>1127</v>
      </c>
      <c r="F992" s="18"/>
      <c r="G992" s="18"/>
      <c r="H992" s="17"/>
    </row>
    <row r="993" spans="1:8" s="40" customFormat="1" ht="36">
      <c r="A993" s="39">
        <f t="shared" si="15"/>
        <v>2</v>
      </c>
      <c r="B993" s="39" t="s">
        <v>1385</v>
      </c>
      <c r="C993" s="7" t="s">
        <v>1127</v>
      </c>
      <c r="D993" s="8" t="s">
        <v>355</v>
      </c>
      <c r="E993" s="25" t="s">
        <v>1127</v>
      </c>
      <c r="F993" s="18"/>
      <c r="G993" s="18"/>
      <c r="H993" s="17"/>
    </row>
    <row r="994" spans="1:8" s="40" customFormat="1" ht="12">
      <c r="A994" s="39">
        <f t="shared" si="15"/>
        <v>2</v>
      </c>
      <c r="B994" s="39" t="s">
        <v>1385</v>
      </c>
      <c r="C994" s="7" t="s">
        <v>1127</v>
      </c>
      <c r="D994" s="8" t="s">
        <v>356</v>
      </c>
      <c r="E994" s="25" t="s">
        <v>1127</v>
      </c>
      <c r="F994" s="18"/>
      <c r="G994" s="18"/>
      <c r="H994" s="17"/>
    </row>
    <row r="995" spans="1:8" s="3" customFormat="1" ht="12">
      <c r="A995" s="41">
        <f t="shared" si="15"/>
        <v>2</v>
      </c>
      <c r="B995" s="41" t="s">
        <v>1386</v>
      </c>
      <c r="C995" s="1" t="s">
        <v>1767</v>
      </c>
      <c r="D995" s="2" t="s">
        <v>357</v>
      </c>
      <c r="E995" s="26" t="s">
        <v>1174</v>
      </c>
      <c r="F995" s="19">
        <v>0</v>
      </c>
      <c r="G995" s="19"/>
      <c r="H995" s="17">
        <f>ROUND((P_2_79.a Qté)*(P_2_79.a PU),2)</f>
        <v>0</v>
      </c>
    </row>
    <row r="996" spans="1:8" s="3" customFormat="1" ht="12">
      <c r="A996" s="41">
        <f t="shared" si="15"/>
        <v>2</v>
      </c>
      <c r="B996" s="41" t="s">
        <v>1386</v>
      </c>
      <c r="C996" s="1" t="s">
        <v>1768</v>
      </c>
      <c r="D996" s="2" t="s">
        <v>358</v>
      </c>
      <c r="E996" s="26" t="s">
        <v>1174</v>
      </c>
      <c r="F996" s="19">
        <v>0</v>
      </c>
      <c r="G996" s="19"/>
      <c r="H996" s="17">
        <f>ROUND((P_2_79.b Qté)*(P_2_79.b PU),2)</f>
        <v>0</v>
      </c>
    </row>
    <row r="997" spans="1:8" s="40" customFormat="1" ht="24">
      <c r="A997" s="39">
        <f t="shared" si="15"/>
        <v>2</v>
      </c>
      <c r="B997" s="39" t="s">
        <v>1385</v>
      </c>
      <c r="C997" s="7" t="s">
        <v>985</v>
      </c>
      <c r="D997" s="8" t="s">
        <v>865</v>
      </c>
      <c r="E997" s="25" t="s">
        <v>1127</v>
      </c>
      <c r="F997" s="18"/>
      <c r="G997" s="18"/>
      <c r="H997" s="17"/>
    </row>
    <row r="998" spans="1:8" s="40" customFormat="1" ht="36">
      <c r="A998" s="39">
        <f t="shared" si="15"/>
        <v>2</v>
      </c>
      <c r="B998" s="39" t="s">
        <v>1385</v>
      </c>
      <c r="C998" s="7" t="s">
        <v>1127</v>
      </c>
      <c r="D998" s="8" t="s">
        <v>866</v>
      </c>
      <c r="E998" s="25" t="s">
        <v>1127</v>
      </c>
      <c r="F998" s="18"/>
      <c r="G998" s="18"/>
      <c r="H998" s="17"/>
    </row>
    <row r="999" spans="1:8" s="40" customFormat="1" ht="24">
      <c r="A999" s="39">
        <f t="shared" si="15"/>
        <v>2</v>
      </c>
      <c r="B999" s="39" t="s">
        <v>1385</v>
      </c>
      <c r="C999" s="7" t="s">
        <v>1127</v>
      </c>
      <c r="D999" s="8" t="s">
        <v>359</v>
      </c>
      <c r="E999" s="25" t="s">
        <v>1127</v>
      </c>
      <c r="F999" s="18"/>
      <c r="G999" s="18"/>
      <c r="H999" s="17"/>
    </row>
    <row r="1000" spans="1:8" s="40" customFormat="1" ht="12">
      <c r="A1000" s="39">
        <f t="shared" si="15"/>
        <v>2</v>
      </c>
      <c r="B1000" s="39" t="s">
        <v>1385</v>
      </c>
      <c r="C1000" s="7" t="s">
        <v>1127</v>
      </c>
      <c r="D1000" s="8" t="s">
        <v>360</v>
      </c>
      <c r="E1000" s="25" t="s">
        <v>1127</v>
      </c>
      <c r="F1000" s="18"/>
      <c r="G1000" s="18"/>
      <c r="H1000" s="17"/>
    </row>
    <row r="1001" spans="1:8" s="40" customFormat="1" ht="24">
      <c r="A1001" s="39">
        <f t="shared" si="15"/>
        <v>2</v>
      </c>
      <c r="B1001" s="39" t="s">
        <v>1385</v>
      </c>
      <c r="C1001" s="7" t="s">
        <v>1127</v>
      </c>
      <c r="D1001" s="8" t="s">
        <v>361</v>
      </c>
      <c r="E1001" s="25" t="s">
        <v>1127</v>
      </c>
      <c r="F1001" s="18"/>
      <c r="G1001" s="18"/>
      <c r="H1001" s="17"/>
    </row>
    <row r="1002" spans="1:8" s="40" customFormat="1" ht="12">
      <c r="A1002" s="39">
        <f t="shared" si="15"/>
        <v>2</v>
      </c>
      <c r="B1002" s="39" t="s">
        <v>1385</v>
      </c>
      <c r="C1002" s="7" t="s">
        <v>1127</v>
      </c>
      <c r="D1002" s="8" t="s">
        <v>322</v>
      </c>
      <c r="E1002" s="25" t="s">
        <v>1127</v>
      </c>
      <c r="F1002" s="18"/>
      <c r="G1002" s="18"/>
      <c r="H1002" s="17"/>
    </row>
    <row r="1003" spans="1:8" s="40" customFormat="1" ht="12">
      <c r="A1003" s="39">
        <f t="shared" si="15"/>
        <v>2</v>
      </c>
      <c r="B1003" s="39" t="s">
        <v>1385</v>
      </c>
      <c r="C1003" s="7" t="s">
        <v>1127</v>
      </c>
      <c r="D1003" s="8" t="s">
        <v>362</v>
      </c>
      <c r="E1003" s="25" t="s">
        <v>1127</v>
      </c>
      <c r="F1003" s="18"/>
      <c r="G1003" s="18"/>
      <c r="H1003" s="17"/>
    </row>
    <row r="1004" spans="1:8" s="40" customFormat="1" ht="12">
      <c r="A1004" s="39">
        <f t="shared" si="15"/>
        <v>2</v>
      </c>
      <c r="B1004" s="39" t="s">
        <v>1385</v>
      </c>
      <c r="C1004" s="7" t="s">
        <v>1127</v>
      </c>
      <c r="D1004" s="8" t="s">
        <v>363</v>
      </c>
      <c r="E1004" s="25" t="s">
        <v>1127</v>
      </c>
      <c r="F1004" s="18"/>
      <c r="G1004" s="18"/>
      <c r="H1004" s="17"/>
    </row>
    <row r="1005" spans="1:8" s="40" customFormat="1" ht="12">
      <c r="A1005" s="39">
        <f t="shared" si="15"/>
        <v>2</v>
      </c>
      <c r="B1005" s="39" t="s">
        <v>1385</v>
      </c>
      <c r="C1005" s="7" t="s">
        <v>1127</v>
      </c>
      <c r="D1005" s="8" t="s">
        <v>356</v>
      </c>
      <c r="E1005" s="25" t="s">
        <v>1127</v>
      </c>
      <c r="F1005" s="18"/>
      <c r="G1005" s="18"/>
      <c r="H1005" s="17"/>
    </row>
    <row r="1006" spans="1:8" s="3" customFormat="1" ht="12">
      <c r="A1006" s="41">
        <f t="shared" si="15"/>
        <v>2</v>
      </c>
      <c r="B1006" s="41" t="s">
        <v>1386</v>
      </c>
      <c r="C1006" s="1" t="s">
        <v>1769</v>
      </c>
      <c r="D1006" s="2" t="s">
        <v>364</v>
      </c>
      <c r="E1006" s="26" t="s">
        <v>1213</v>
      </c>
      <c r="F1006" s="19">
        <v>0</v>
      </c>
      <c r="G1006" s="19"/>
      <c r="H1006" s="17">
        <f>ROUND((P_2_80.a Qté)*(P_2_80.a PU),2)</f>
        <v>0</v>
      </c>
    </row>
    <row r="1007" spans="1:8" s="3" customFormat="1" ht="12">
      <c r="A1007" s="41">
        <f t="shared" si="15"/>
        <v>2</v>
      </c>
      <c r="B1007" s="41" t="s">
        <v>1386</v>
      </c>
      <c r="C1007" s="1" t="s">
        <v>1770</v>
      </c>
      <c r="D1007" s="2" t="s">
        <v>365</v>
      </c>
      <c r="E1007" s="26" t="s">
        <v>1213</v>
      </c>
      <c r="F1007" s="19">
        <v>0</v>
      </c>
      <c r="G1007" s="19"/>
      <c r="H1007" s="17">
        <f>ROUND((P_2_80.b Qté)*(P_2_80.b PU),2)</f>
        <v>0</v>
      </c>
    </row>
    <row r="1008" spans="1:8" s="40" customFormat="1" ht="36">
      <c r="A1008" s="39">
        <f aca="true" t="shared" si="16" ref="A1008:A1071">A1007</f>
        <v>2</v>
      </c>
      <c r="B1008" s="39" t="s">
        <v>1385</v>
      </c>
      <c r="C1008" s="7" t="s">
        <v>986</v>
      </c>
      <c r="D1008" s="8" t="s">
        <v>867</v>
      </c>
      <c r="E1008" s="25" t="s">
        <v>1127</v>
      </c>
      <c r="F1008" s="18"/>
      <c r="G1008" s="18"/>
      <c r="H1008" s="17"/>
    </row>
    <row r="1009" spans="1:8" s="40" customFormat="1" ht="36">
      <c r="A1009" s="39">
        <f t="shared" si="16"/>
        <v>2</v>
      </c>
      <c r="B1009" s="39" t="s">
        <v>1385</v>
      </c>
      <c r="C1009" s="7" t="s">
        <v>1127</v>
      </c>
      <c r="D1009" s="8" t="s">
        <v>868</v>
      </c>
      <c r="E1009" s="25" t="s">
        <v>1127</v>
      </c>
      <c r="F1009" s="18"/>
      <c r="G1009" s="18"/>
      <c r="H1009" s="17"/>
    </row>
    <row r="1010" spans="1:8" s="40" customFormat="1" ht="12">
      <c r="A1010" s="39">
        <f t="shared" si="16"/>
        <v>2</v>
      </c>
      <c r="B1010" s="39" t="s">
        <v>1385</v>
      </c>
      <c r="C1010" s="7" t="s">
        <v>1127</v>
      </c>
      <c r="D1010" s="8" t="s">
        <v>366</v>
      </c>
      <c r="E1010" s="25" t="s">
        <v>1127</v>
      </c>
      <c r="F1010" s="18"/>
      <c r="G1010" s="18"/>
      <c r="H1010" s="17"/>
    </row>
    <row r="1011" spans="1:8" s="40" customFormat="1" ht="24">
      <c r="A1011" s="39">
        <f t="shared" si="16"/>
        <v>2</v>
      </c>
      <c r="B1011" s="39" t="s">
        <v>1385</v>
      </c>
      <c r="C1011" s="7" t="s">
        <v>1127</v>
      </c>
      <c r="D1011" s="8" t="s">
        <v>367</v>
      </c>
      <c r="E1011" s="25" t="s">
        <v>1127</v>
      </c>
      <c r="F1011" s="18"/>
      <c r="G1011" s="18"/>
      <c r="H1011" s="17"/>
    </row>
    <row r="1012" spans="1:8" s="40" customFormat="1" ht="24">
      <c r="A1012" s="39">
        <f t="shared" si="16"/>
        <v>2</v>
      </c>
      <c r="B1012" s="39" t="s">
        <v>1385</v>
      </c>
      <c r="C1012" s="7" t="s">
        <v>1127</v>
      </c>
      <c r="D1012" s="8" t="s">
        <v>368</v>
      </c>
      <c r="E1012" s="25" t="s">
        <v>1127</v>
      </c>
      <c r="F1012" s="18"/>
      <c r="G1012" s="18"/>
      <c r="H1012" s="17"/>
    </row>
    <row r="1013" spans="1:8" s="40" customFormat="1" ht="12">
      <c r="A1013" s="39">
        <f t="shared" si="16"/>
        <v>2</v>
      </c>
      <c r="B1013" s="39" t="s">
        <v>1385</v>
      </c>
      <c r="C1013" s="7" t="s">
        <v>1127</v>
      </c>
      <c r="D1013" s="8" t="s">
        <v>369</v>
      </c>
      <c r="E1013" s="25" t="s">
        <v>1127</v>
      </c>
      <c r="F1013" s="18"/>
      <c r="G1013" s="18"/>
      <c r="H1013" s="17"/>
    </row>
    <row r="1014" spans="1:8" s="3" customFormat="1" ht="12">
      <c r="A1014" s="41">
        <f t="shared" si="16"/>
        <v>2</v>
      </c>
      <c r="B1014" s="41" t="s">
        <v>1386</v>
      </c>
      <c r="C1014" s="1" t="s">
        <v>1771</v>
      </c>
      <c r="D1014" s="2" t="s">
        <v>370</v>
      </c>
      <c r="E1014" s="26" t="s">
        <v>1174</v>
      </c>
      <c r="F1014" s="19">
        <v>0</v>
      </c>
      <c r="G1014" s="19"/>
      <c r="H1014" s="17">
        <f>ROUND((P_2_81.a Qté)*(P_2_81.a PU),2)</f>
        <v>0</v>
      </c>
    </row>
    <row r="1015" spans="1:8" s="3" customFormat="1" ht="12">
      <c r="A1015" s="41">
        <f t="shared" si="16"/>
        <v>2</v>
      </c>
      <c r="B1015" s="41" t="s">
        <v>1386</v>
      </c>
      <c r="C1015" s="1" t="s">
        <v>1772</v>
      </c>
      <c r="D1015" s="2" t="s">
        <v>371</v>
      </c>
      <c r="E1015" s="26" t="s">
        <v>1174</v>
      </c>
      <c r="F1015" s="19">
        <v>0</v>
      </c>
      <c r="G1015" s="19"/>
      <c r="H1015" s="17">
        <f>ROUND((P_2_81.b Qté)*(P_2_81.b PU),2)</f>
        <v>0</v>
      </c>
    </row>
    <row r="1016" spans="1:8" s="3" customFormat="1" ht="24">
      <c r="A1016" s="41">
        <f t="shared" si="16"/>
        <v>2</v>
      </c>
      <c r="B1016" s="41" t="s">
        <v>1386</v>
      </c>
      <c r="C1016" s="1" t="s">
        <v>987</v>
      </c>
      <c r="D1016" s="2" t="s">
        <v>869</v>
      </c>
      <c r="E1016" s="26" t="s">
        <v>1227</v>
      </c>
      <c r="F1016" s="19">
        <v>0</v>
      </c>
      <c r="G1016" s="19"/>
      <c r="H1016" s="17">
        <f>ROUND((P_2_82 Qté)*(P_2_82 PU),2)</f>
        <v>0</v>
      </c>
    </row>
    <row r="1017" spans="1:8" s="40" customFormat="1" ht="36">
      <c r="A1017" s="39">
        <f t="shared" si="16"/>
        <v>2</v>
      </c>
      <c r="B1017" s="39" t="s">
        <v>1385</v>
      </c>
      <c r="C1017" s="7" t="s">
        <v>1127</v>
      </c>
      <c r="D1017" s="8" t="s">
        <v>870</v>
      </c>
      <c r="E1017" s="25" t="s">
        <v>1127</v>
      </c>
      <c r="F1017" s="18"/>
      <c r="G1017" s="18"/>
      <c r="H1017" s="17"/>
    </row>
    <row r="1018" spans="1:8" s="40" customFormat="1" ht="24">
      <c r="A1018" s="39">
        <f t="shared" si="16"/>
        <v>2</v>
      </c>
      <c r="B1018" s="39" t="s">
        <v>1385</v>
      </c>
      <c r="C1018" s="7" t="s">
        <v>1127</v>
      </c>
      <c r="D1018" s="8" t="s">
        <v>372</v>
      </c>
      <c r="E1018" s="25" t="s">
        <v>1127</v>
      </c>
      <c r="F1018" s="18"/>
      <c r="G1018" s="18"/>
      <c r="H1018" s="17"/>
    </row>
    <row r="1019" spans="1:8" s="40" customFormat="1" ht="24">
      <c r="A1019" s="39">
        <f t="shared" si="16"/>
        <v>2</v>
      </c>
      <c r="B1019" s="39" t="s">
        <v>1385</v>
      </c>
      <c r="C1019" s="7" t="s">
        <v>1127</v>
      </c>
      <c r="D1019" s="8" t="s">
        <v>373</v>
      </c>
      <c r="E1019" s="25" t="s">
        <v>1127</v>
      </c>
      <c r="F1019" s="18"/>
      <c r="G1019" s="18"/>
      <c r="H1019" s="17"/>
    </row>
    <row r="1020" spans="1:8" s="40" customFormat="1" ht="24">
      <c r="A1020" s="39">
        <f t="shared" si="16"/>
        <v>2</v>
      </c>
      <c r="B1020" s="39" t="s">
        <v>1385</v>
      </c>
      <c r="C1020" s="7" t="s">
        <v>1127</v>
      </c>
      <c r="D1020" s="8" t="s">
        <v>233</v>
      </c>
      <c r="E1020" s="25" t="s">
        <v>1127</v>
      </c>
      <c r="F1020" s="18"/>
      <c r="G1020" s="18"/>
      <c r="H1020" s="17"/>
    </row>
    <row r="1021" spans="1:8" s="40" customFormat="1" ht="12">
      <c r="A1021" s="39">
        <f t="shared" si="16"/>
        <v>2</v>
      </c>
      <c r="B1021" s="39" t="s">
        <v>1385</v>
      </c>
      <c r="C1021" s="7" t="s">
        <v>1127</v>
      </c>
      <c r="D1021" s="8" t="s">
        <v>374</v>
      </c>
      <c r="E1021" s="25" t="s">
        <v>1127</v>
      </c>
      <c r="F1021" s="18"/>
      <c r="G1021" s="18"/>
      <c r="H1021" s="17"/>
    </row>
    <row r="1022" spans="1:8" s="40" customFormat="1" ht="24">
      <c r="A1022" s="39">
        <f t="shared" si="16"/>
        <v>2</v>
      </c>
      <c r="B1022" s="39" t="s">
        <v>1385</v>
      </c>
      <c r="C1022" s="7" t="s">
        <v>1127</v>
      </c>
      <c r="D1022" s="8" t="s">
        <v>375</v>
      </c>
      <c r="E1022" s="25" t="s">
        <v>1127</v>
      </c>
      <c r="F1022" s="18"/>
      <c r="G1022" s="18"/>
      <c r="H1022" s="17"/>
    </row>
    <row r="1023" spans="1:8" s="40" customFormat="1" ht="24">
      <c r="A1023" s="39">
        <f t="shared" si="16"/>
        <v>2</v>
      </c>
      <c r="B1023" s="39" t="s">
        <v>1385</v>
      </c>
      <c r="C1023" s="7" t="s">
        <v>1127</v>
      </c>
      <c r="D1023" s="8" t="s">
        <v>376</v>
      </c>
      <c r="E1023" s="25" t="s">
        <v>1127</v>
      </c>
      <c r="F1023" s="18"/>
      <c r="G1023" s="18"/>
      <c r="H1023" s="17"/>
    </row>
    <row r="1024" spans="1:8" s="40" customFormat="1" ht="12">
      <c r="A1024" s="39">
        <f t="shared" si="16"/>
        <v>2</v>
      </c>
      <c r="B1024" s="39" t="s">
        <v>1385</v>
      </c>
      <c r="C1024" s="7" t="s">
        <v>1127</v>
      </c>
      <c r="D1024" s="8" t="s">
        <v>356</v>
      </c>
      <c r="E1024" s="25" t="s">
        <v>1127</v>
      </c>
      <c r="F1024" s="18"/>
      <c r="G1024" s="18"/>
      <c r="H1024" s="17"/>
    </row>
    <row r="1025" spans="1:8" s="40" customFormat="1" ht="24">
      <c r="A1025" s="39">
        <f t="shared" si="16"/>
        <v>2</v>
      </c>
      <c r="B1025" s="39" t="s">
        <v>1385</v>
      </c>
      <c r="C1025" s="7" t="s">
        <v>988</v>
      </c>
      <c r="D1025" s="8" t="s">
        <v>871</v>
      </c>
      <c r="E1025" s="25" t="s">
        <v>1127</v>
      </c>
      <c r="F1025" s="18"/>
      <c r="G1025" s="18"/>
      <c r="H1025" s="17"/>
    </row>
    <row r="1026" spans="1:8" s="40" customFormat="1" ht="24">
      <c r="A1026" s="39">
        <f t="shared" si="16"/>
        <v>2</v>
      </c>
      <c r="B1026" s="39" t="s">
        <v>1385</v>
      </c>
      <c r="C1026" s="7" t="s">
        <v>1127</v>
      </c>
      <c r="D1026" s="8" t="s">
        <v>872</v>
      </c>
      <c r="E1026" s="25" t="s">
        <v>1127</v>
      </c>
      <c r="F1026" s="18"/>
      <c r="G1026" s="18"/>
      <c r="H1026" s="17"/>
    </row>
    <row r="1027" spans="1:8" s="40" customFormat="1" ht="12">
      <c r="A1027" s="39">
        <f t="shared" si="16"/>
        <v>2</v>
      </c>
      <c r="B1027" s="39" t="s">
        <v>1385</v>
      </c>
      <c r="C1027" s="7" t="s">
        <v>1127</v>
      </c>
      <c r="D1027" s="8" t="s">
        <v>377</v>
      </c>
      <c r="E1027" s="25" t="s">
        <v>1127</v>
      </c>
      <c r="F1027" s="18"/>
      <c r="G1027" s="18"/>
      <c r="H1027" s="17"/>
    </row>
    <row r="1028" spans="1:8" s="40" customFormat="1" ht="12">
      <c r="A1028" s="39">
        <f t="shared" si="16"/>
        <v>2</v>
      </c>
      <c r="B1028" s="39" t="s">
        <v>1385</v>
      </c>
      <c r="C1028" s="7" t="s">
        <v>1127</v>
      </c>
      <c r="D1028" s="8" t="s">
        <v>378</v>
      </c>
      <c r="E1028" s="25" t="s">
        <v>1127</v>
      </c>
      <c r="F1028" s="18"/>
      <c r="G1028" s="18"/>
      <c r="H1028" s="17"/>
    </row>
    <row r="1029" spans="1:8" s="40" customFormat="1" ht="24">
      <c r="A1029" s="39">
        <f t="shared" si="16"/>
        <v>2</v>
      </c>
      <c r="B1029" s="39" t="s">
        <v>1385</v>
      </c>
      <c r="C1029" s="7" t="s">
        <v>1127</v>
      </c>
      <c r="D1029" s="8" t="s">
        <v>161</v>
      </c>
      <c r="E1029" s="25" t="s">
        <v>1127</v>
      </c>
      <c r="F1029" s="18"/>
      <c r="G1029" s="18"/>
      <c r="H1029" s="17"/>
    </row>
    <row r="1030" spans="1:8" s="40" customFormat="1" ht="12">
      <c r="A1030" s="39">
        <f t="shared" si="16"/>
        <v>2</v>
      </c>
      <c r="B1030" s="39" t="s">
        <v>1385</v>
      </c>
      <c r="C1030" s="7" t="s">
        <v>1127</v>
      </c>
      <c r="D1030" s="8" t="s">
        <v>379</v>
      </c>
      <c r="E1030" s="25" t="s">
        <v>1127</v>
      </c>
      <c r="F1030" s="18"/>
      <c r="G1030" s="18"/>
      <c r="H1030" s="17"/>
    </row>
    <row r="1031" spans="1:8" s="40" customFormat="1" ht="12">
      <c r="A1031" s="39">
        <f t="shared" si="16"/>
        <v>2</v>
      </c>
      <c r="B1031" s="39" t="s">
        <v>1385</v>
      </c>
      <c r="C1031" s="7" t="s">
        <v>1127</v>
      </c>
      <c r="D1031" s="8" t="s">
        <v>380</v>
      </c>
      <c r="E1031" s="25" t="s">
        <v>1127</v>
      </c>
      <c r="F1031" s="18"/>
      <c r="G1031" s="18"/>
      <c r="H1031" s="17"/>
    </row>
    <row r="1032" spans="1:8" s="40" customFormat="1" ht="36">
      <c r="A1032" s="39">
        <f t="shared" si="16"/>
        <v>2</v>
      </c>
      <c r="B1032" s="39" t="s">
        <v>1385</v>
      </c>
      <c r="C1032" s="7" t="s">
        <v>1127</v>
      </c>
      <c r="D1032" s="8" t="s">
        <v>381</v>
      </c>
      <c r="E1032" s="25" t="s">
        <v>1127</v>
      </c>
      <c r="F1032" s="18"/>
      <c r="G1032" s="18"/>
      <c r="H1032" s="17"/>
    </row>
    <row r="1033" spans="1:8" s="40" customFormat="1" ht="12">
      <c r="A1033" s="39">
        <f t="shared" si="16"/>
        <v>2</v>
      </c>
      <c r="B1033" s="39" t="s">
        <v>1385</v>
      </c>
      <c r="C1033" s="7" t="s">
        <v>1127</v>
      </c>
      <c r="D1033" s="8" t="s">
        <v>382</v>
      </c>
      <c r="E1033" s="25" t="s">
        <v>1127</v>
      </c>
      <c r="F1033" s="18"/>
      <c r="G1033" s="18"/>
      <c r="H1033" s="17"/>
    </row>
    <row r="1034" spans="1:8" s="40" customFormat="1" ht="12">
      <c r="A1034" s="39">
        <f t="shared" si="16"/>
        <v>2</v>
      </c>
      <c r="B1034" s="39" t="s">
        <v>1385</v>
      </c>
      <c r="C1034" s="7" t="s">
        <v>1127</v>
      </c>
      <c r="D1034" s="8" t="s">
        <v>383</v>
      </c>
      <c r="E1034" s="25" t="s">
        <v>1127</v>
      </c>
      <c r="F1034" s="18"/>
      <c r="G1034" s="18"/>
      <c r="H1034" s="17"/>
    </row>
    <row r="1035" spans="1:8" s="40" customFormat="1" ht="24">
      <c r="A1035" s="39">
        <f t="shared" si="16"/>
        <v>2</v>
      </c>
      <c r="B1035" s="39" t="s">
        <v>1385</v>
      </c>
      <c r="C1035" s="7" t="s">
        <v>1127</v>
      </c>
      <c r="D1035" s="8" t="s">
        <v>384</v>
      </c>
      <c r="E1035" s="25" t="s">
        <v>1127</v>
      </c>
      <c r="F1035" s="18"/>
      <c r="G1035" s="18"/>
      <c r="H1035" s="17"/>
    </row>
    <row r="1036" spans="1:8" s="40" customFormat="1" ht="12">
      <c r="A1036" s="39">
        <f t="shared" si="16"/>
        <v>2</v>
      </c>
      <c r="B1036" s="39" t="s">
        <v>1385</v>
      </c>
      <c r="C1036" s="7" t="s">
        <v>1127</v>
      </c>
      <c r="D1036" s="8" t="s">
        <v>637</v>
      </c>
      <c r="E1036" s="25" t="s">
        <v>1127</v>
      </c>
      <c r="F1036" s="18"/>
      <c r="G1036" s="18"/>
      <c r="H1036" s="17"/>
    </row>
    <row r="1037" spans="1:8" s="3" customFormat="1" ht="24">
      <c r="A1037" s="41">
        <f t="shared" si="16"/>
        <v>2</v>
      </c>
      <c r="B1037" s="41" t="s">
        <v>1386</v>
      </c>
      <c r="C1037" s="1" t="s">
        <v>1773</v>
      </c>
      <c r="D1037" s="2" t="s">
        <v>385</v>
      </c>
      <c r="E1037" s="26" t="s">
        <v>1174</v>
      </c>
      <c r="F1037" s="19">
        <v>0</v>
      </c>
      <c r="G1037" s="19"/>
      <c r="H1037" s="17">
        <f>ROUND((P_2_83.a Qté)*(P_2_83.a PU),2)</f>
        <v>0</v>
      </c>
    </row>
    <row r="1038" spans="1:8" s="3" customFormat="1" ht="24">
      <c r="A1038" s="41">
        <f t="shared" si="16"/>
        <v>2</v>
      </c>
      <c r="B1038" s="41" t="s">
        <v>1386</v>
      </c>
      <c r="C1038" s="1" t="s">
        <v>1774</v>
      </c>
      <c r="D1038" s="2" t="s">
        <v>386</v>
      </c>
      <c r="E1038" s="26" t="s">
        <v>1174</v>
      </c>
      <c r="F1038" s="19">
        <v>0</v>
      </c>
      <c r="G1038" s="19"/>
      <c r="H1038" s="17">
        <f>ROUND((P_2_83.b Qté)*(P_2_83.b PU),2)</f>
        <v>0</v>
      </c>
    </row>
    <row r="1039" spans="1:8" s="3" customFormat="1" ht="12">
      <c r="A1039" s="41">
        <f t="shared" si="16"/>
        <v>2</v>
      </c>
      <c r="B1039" s="41" t="s">
        <v>1386</v>
      </c>
      <c r="C1039" s="1" t="s">
        <v>1775</v>
      </c>
      <c r="D1039" s="2" t="s">
        <v>387</v>
      </c>
      <c r="E1039" s="26" t="s">
        <v>1174</v>
      </c>
      <c r="F1039" s="19">
        <v>0</v>
      </c>
      <c r="G1039" s="19"/>
      <c r="H1039" s="17">
        <f>ROUND((P_2_83.c Qté)*(P_2_83.c PU),2)</f>
        <v>0</v>
      </c>
    </row>
    <row r="1040" spans="1:8" s="3" customFormat="1" ht="12">
      <c r="A1040" s="41">
        <f t="shared" si="16"/>
        <v>2</v>
      </c>
      <c r="B1040" s="41" t="s">
        <v>1386</v>
      </c>
      <c r="C1040" s="1" t="s">
        <v>1776</v>
      </c>
      <c r="D1040" s="2" t="s">
        <v>388</v>
      </c>
      <c r="E1040" s="26" t="s">
        <v>1174</v>
      </c>
      <c r="F1040" s="19">
        <v>0</v>
      </c>
      <c r="G1040" s="19"/>
      <c r="H1040" s="17">
        <f>ROUND((P_2_83.d Qté)*(P_2_83.d PU),2)</f>
        <v>0</v>
      </c>
    </row>
    <row r="1041" spans="1:8" s="3" customFormat="1" ht="12">
      <c r="A1041" s="41">
        <f t="shared" si="16"/>
        <v>2</v>
      </c>
      <c r="B1041" s="41" t="s">
        <v>1386</v>
      </c>
      <c r="C1041" s="1" t="s">
        <v>1777</v>
      </c>
      <c r="D1041" s="2" t="s">
        <v>389</v>
      </c>
      <c r="E1041" s="26" t="s">
        <v>1174</v>
      </c>
      <c r="F1041" s="19">
        <v>0</v>
      </c>
      <c r="G1041" s="19"/>
      <c r="H1041" s="17">
        <f>ROUND((P_2_83.e Qté)*(P_2_83.e PU),2)</f>
        <v>0</v>
      </c>
    </row>
    <row r="1042" spans="1:8" s="3" customFormat="1" ht="24">
      <c r="A1042" s="41">
        <f t="shared" si="16"/>
        <v>2</v>
      </c>
      <c r="B1042" s="41" t="s">
        <v>1386</v>
      </c>
      <c r="C1042" s="1" t="s">
        <v>989</v>
      </c>
      <c r="D1042" s="2" t="s">
        <v>873</v>
      </c>
      <c r="E1042" s="26" t="s">
        <v>1206</v>
      </c>
      <c r="F1042" s="19">
        <v>0</v>
      </c>
      <c r="G1042" s="19"/>
      <c r="H1042" s="17">
        <f>ROUND((P_2_84 Qté)*(P_2_84 PU),2)</f>
        <v>0</v>
      </c>
    </row>
    <row r="1043" spans="1:8" s="40" customFormat="1" ht="24">
      <c r="A1043" s="39">
        <f t="shared" si="16"/>
        <v>2</v>
      </c>
      <c r="B1043" s="39" t="s">
        <v>1385</v>
      </c>
      <c r="C1043" s="7" t="s">
        <v>1127</v>
      </c>
      <c r="D1043" s="8" t="s">
        <v>874</v>
      </c>
      <c r="E1043" s="25" t="s">
        <v>1127</v>
      </c>
      <c r="F1043" s="18"/>
      <c r="G1043" s="18"/>
      <c r="H1043" s="17"/>
    </row>
    <row r="1044" spans="1:8" s="40" customFormat="1" ht="12">
      <c r="A1044" s="39">
        <f t="shared" si="16"/>
        <v>2</v>
      </c>
      <c r="B1044" s="39" t="s">
        <v>1385</v>
      </c>
      <c r="C1044" s="7" t="s">
        <v>1127</v>
      </c>
      <c r="D1044" s="8" t="s">
        <v>390</v>
      </c>
      <c r="E1044" s="25" t="s">
        <v>1127</v>
      </c>
      <c r="F1044" s="18"/>
      <c r="G1044" s="18"/>
      <c r="H1044" s="17"/>
    </row>
    <row r="1045" spans="1:8" s="40" customFormat="1" ht="24">
      <c r="A1045" s="39">
        <f t="shared" si="16"/>
        <v>2</v>
      </c>
      <c r="B1045" s="39" t="s">
        <v>1385</v>
      </c>
      <c r="C1045" s="7" t="s">
        <v>1127</v>
      </c>
      <c r="D1045" s="8" t="s">
        <v>161</v>
      </c>
      <c r="E1045" s="25" t="s">
        <v>1127</v>
      </c>
      <c r="F1045" s="18"/>
      <c r="G1045" s="18"/>
      <c r="H1045" s="17"/>
    </row>
    <row r="1046" spans="1:8" s="40" customFormat="1" ht="12">
      <c r="A1046" s="39">
        <f t="shared" si="16"/>
        <v>2</v>
      </c>
      <c r="B1046" s="39" t="s">
        <v>1385</v>
      </c>
      <c r="C1046" s="7" t="s">
        <v>1127</v>
      </c>
      <c r="D1046" s="8" t="s">
        <v>379</v>
      </c>
      <c r="E1046" s="25" t="s">
        <v>1127</v>
      </c>
      <c r="F1046" s="18"/>
      <c r="G1046" s="18"/>
      <c r="H1046" s="17"/>
    </row>
    <row r="1047" spans="1:8" s="40" customFormat="1" ht="24">
      <c r="A1047" s="39">
        <f t="shared" si="16"/>
        <v>2</v>
      </c>
      <c r="B1047" s="39" t="s">
        <v>1385</v>
      </c>
      <c r="C1047" s="7" t="s">
        <v>1127</v>
      </c>
      <c r="D1047" s="8" t="s">
        <v>391</v>
      </c>
      <c r="E1047" s="25" t="s">
        <v>1127</v>
      </c>
      <c r="F1047" s="18"/>
      <c r="G1047" s="18"/>
      <c r="H1047" s="17"/>
    </row>
    <row r="1048" spans="1:8" s="40" customFormat="1" ht="12">
      <c r="A1048" s="39">
        <f t="shared" si="16"/>
        <v>2</v>
      </c>
      <c r="B1048" s="39" t="s">
        <v>1385</v>
      </c>
      <c r="C1048" s="7" t="s">
        <v>1127</v>
      </c>
      <c r="D1048" s="8" t="s">
        <v>392</v>
      </c>
      <c r="E1048" s="25" t="s">
        <v>1127</v>
      </c>
      <c r="F1048" s="18"/>
      <c r="G1048" s="18"/>
      <c r="H1048" s="17"/>
    </row>
    <row r="1049" spans="1:8" s="40" customFormat="1" ht="12">
      <c r="A1049" s="39">
        <f t="shared" si="16"/>
        <v>2</v>
      </c>
      <c r="B1049" s="39" t="s">
        <v>1385</v>
      </c>
      <c r="C1049" s="7" t="s">
        <v>1127</v>
      </c>
      <c r="D1049" s="8" t="s">
        <v>637</v>
      </c>
      <c r="E1049" s="25" t="s">
        <v>1127</v>
      </c>
      <c r="F1049" s="18"/>
      <c r="G1049" s="18"/>
      <c r="H1049" s="17"/>
    </row>
    <row r="1050" spans="1:8" s="3" customFormat="1" ht="24">
      <c r="A1050" s="41">
        <f t="shared" si="16"/>
        <v>2</v>
      </c>
      <c r="B1050" s="41" t="s">
        <v>1386</v>
      </c>
      <c r="C1050" s="1" t="s">
        <v>990</v>
      </c>
      <c r="D1050" s="2" t="s">
        <v>875</v>
      </c>
      <c r="E1050" s="26" t="s">
        <v>1174</v>
      </c>
      <c r="F1050" s="19">
        <v>0</v>
      </c>
      <c r="G1050" s="19"/>
      <c r="H1050" s="17">
        <f>ROUND((P_2_85 Qté)*(P_2_85 PU),2)</f>
        <v>0</v>
      </c>
    </row>
    <row r="1051" spans="1:8" s="40" customFormat="1" ht="36">
      <c r="A1051" s="39">
        <f t="shared" si="16"/>
        <v>2</v>
      </c>
      <c r="B1051" s="39" t="s">
        <v>1385</v>
      </c>
      <c r="C1051" s="7" t="s">
        <v>1127</v>
      </c>
      <c r="D1051" s="8" t="s">
        <v>876</v>
      </c>
      <c r="E1051" s="25" t="s">
        <v>1127</v>
      </c>
      <c r="F1051" s="18"/>
      <c r="G1051" s="18"/>
      <c r="H1051" s="17"/>
    </row>
    <row r="1052" spans="1:8" s="40" customFormat="1" ht="24">
      <c r="A1052" s="39">
        <f t="shared" si="16"/>
        <v>2</v>
      </c>
      <c r="B1052" s="39" t="s">
        <v>1385</v>
      </c>
      <c r="C1052" s="7" t="s">
        <v>1127</v>
      </c>
      <c r="D1052" s="8" t="s">
        <v>393</v>
      </c>
      <c r="E1052" s="25" t="s">
        <v>1127</v>
      </c>
      <c r="F1052" s="18"/>
      <c r="G1052" s="18"/>
      <c r="H1052" s="17"/>
    </row>
    <row r="1053" spans="1:8" s="40" customFormat="1" ht="24">
      <c r="A1053" s="39">
        <f t="shared" si="16"/>
        <v>2</v>
      </c>
      <c r="B1053" s="39" t="s">
        <v>1385</v>
      </c>
      <c r="C1053" s="7" t="s">
        <v>1127</v>
      </c>
      <c r="D1053" s="8" t="s">
        <v>233</v>
      </c>
      <c r="E1053" s="25" t="s">
        <v>1127</v>
      </c>
      <c r="F1053" s="18"/>
      <c r="G1053" s="18"/>
      <c r="H1053" s="17"/>
    </row>
    <row r="1054" spans="1:8" s="40" customFormat="1" ht="12">
      <c r="A1054" s="39">
        <f t="shared" si="16"/>
        <v>2</v>
      </c>
      <c r="B1054" s="39" t="s">
        <v>1385</v>
      </c>
      <c r="C1054" s="7" t="s">
        <v>1127</v>
      </c>
      <c r="D1054" s="8" t="s">
        <v>394</v>
      </c>
      <c r="E1054" s="25" t="s">
        <v>1127</v>
      </c>
      <c r="F1054" s="18"/>
      <c r="G1054" s="18"/>
      <c r="H1054" s="17"/>
    </row>
    <row r="1055" spans="1:8" s="40" customFormat="1" ht="96">
      <c r="A1055" s="39">
        <f t="shared" si="16"/>
        <v>2</v>
      </c>
      <c r="B1055" s="39" t="s">
        <v>1385</v>
      </c>
      <c r="C1055" s="7" t="s">
        <v>1127</v>
      </c>
      <c r="D1055" s="8" t="s">
        <v>395</v>
      </c>
      <c r="E1055" s="25" t="s">
        <v>1127</v>
      </c>
      <c r="F1055" s="18"/>
      <c r="G1055" s="18"/>
      <c r="H1055" s="17"/>
    </row>
    <row r="1056" spans="1:8" s="40" customFormat="1" ht="12">
      <c r="A1056" s="39">
        <f t="shared" si="16"/>
        <v>2</v>
      </c>
      <c r="B1056" s="39" t="s">
        <v>1385</v>
      </c>
      <c r="C1056" s="7" t="s">
        <v>1127</v>
      </c>
      <c r="D1056" s="8" t="s">
        <v>396</v>
      </c>
      <c r="E1056" s="25" t="s">
        <v>1127</v>
      </c>
      <c r="F1056" s="18"/>
      <c r="G1056" s="18"/>
      <c r="H1056" s="17"/>
    </row>
    <row r="1057" spans="1:8" s="40" customFormat="1" ht="12">
      <c r="A1057" s="39">
        <f t="shared" si="16"/>
        <v>2</v>
      </c>
      <c r="B1057" s="39" t="s">
        <v>1385</v>
      </c>
      <c r="C1057" s="7" t="s">
        <v>1127</v>
      </c>
      <c r="D1057" s="8" t="s">
        <v>637</v>
      </c>
      <c r="E1057" s="25" t="s">
        <v>1127</v>
      </c>
      <c r="F1057" s="18"/>
      <c r="G1057" s="18"/>
      <c r="H1057" s="17"/>
    </row>
    <row r="1058" spans="1:8" s="3" customFormat="1" ht="24">
      <c r="A1058" s="41">
        <f t="shared" si="16"/>
        <v>2</v>
      </c>
      <c r="B1058" s="41" t="s">
        <v>1386</v>
      </c>
      <c r="C1058" s="1" t="s">
        <v>991</v>
      </c>
      <c r="D1058" s="2" t="s">
        <v>877</v>
      </c>
      <c r="E1058" s="26" t="s">
        <v>1174</v>
      </c>
      <c r="F1058" s="19">
        <v>0</v>
      </c>
      <c r="G1058" s="19"/>
      <c r="H1058" s="17">
        <f>ROUND((P_2_86 Qté)*(P_2_86 PU),2)</f>
        <v>0</v>
      </c>
    </row>
    <row r="1059" spans="1:8" s="40" customFormat="1" ht="36">
      <c r="A1059" s="39">
        <f t="shared" si="16"/>
        <v>2</v>
      </c>
      <c r="B1059" s="39" t="s">
        <v>1385</v>
      </c>
      <c r="C1059" s="7" t="s">
        <v>1127</v>
      </c>
      <c r="D1059" s="8" t="s">
        <v>878</v>
      </c>
      <c r="E1059" s="25" t="s">
        <v>1127</v>
      </c>
      <c r="F1059" s="18"/>
      <c r="G1059" s="18"/>
      <c r="H1059" s="17"/>
    </row>
    <row r="1060" spans="1:8" s="40" customFormat="1" ht="24">
      <c r="A1060" s="39">
        <f t="shared" si="16"/>
        <v>2</v>
      </c>
      <c r="B1060" s="39" t="s">
        <v>1385</v>
      </c>
      <c r="C1060" s="7" t="s">
        <v>1127</v>
      </c>
      <c r="D1060" s="8" t="s">
        <v>393</v>
      </c>
      <c r="E1060" s="25" t="s">
        <v>1127</v>
      </c>
      <c r="F1060" s="18"/>
      <c r="G1060" s="18"/>
      <c r="H1060" s="17"/>
    </row>
    <row r="1061" spans="1:8" s="40" customFormat="1" ht="24">
      <c r="A1061" s="39">
        <f t="shared" si="16"/>
        <v>2</v>
      </c>
      <c r="B1061" s="39" t="s">
        <v>1385</v>
      </c>
      <c r="C1061" s="7" t="s">
        <v>1127</v>
      </c>
      <c r="D1061" s="8" t="s">
        <v>233</v>
      </c>
      <c r="E1061" s="25" t="s">
        <v>1127</v>
      </c>
      <c r="F1061" s="18"/>
      <c r="G1061" s="18"/>
      <c r="H1061" s="17"/>
    </row>
    <row r="1062" spans="1:8" s="40" customFormat="1" ht="12">
      <c r="A1062" s="39">
        <f t="shared" si="16"/>
        <v>2</v>
      </c>
      <c r="B1062" s="39" t="s">
        <v>1385</v>
      </c>
      <c r="C1062" s="7" t="s">
        <v>1127</v>
      </c>
      <c r="D1062" s="8" t="s">
        <v>394</v>
      </c>
      <c r="E1062" s="25" t="s">
        <v>1127</v>
      </c>
      <c r="F1062" s="18"/>
      <c r="G1062" s="18"/>
      <c r="H1062" s="17"/>
    </row>
    <row r="1063" spans="1:8" s="40" customFormat="1" ht="36">
      <c r="A1063" s="39">
        <f t="shared" si="16"/>
        <v>2</v>
      </c>
      <c r="B1063" s="39" t="s">
        <v>1385</v>
      </c>
      <c r="C1063" s="7" t="s">
        <v>1127</v>
      </c>
      <c r="D1063" s="8" t="s">
        <v>397</v>
      </c>
      <c r="E1063" s="25" t="s">
        <v>1127</v>
      </c>
      <c r="F1063" s="18"/>
      <c r="G1063" s="18"/>
      <c r="H1063" s="17"/>
    </row>
    <row r="1064" spans="1:8" s="40" customFormat="1" ht="12">
      <c r="A1064" s="39">
        <f t="shared" si="16"/>
        <v>2</v>
      </c>
      <c r="B1064" s="39" t="s">
        <v>1385</v>
      </c>
      <c r="C1064" s="7" t="s">
        <v>1127</v>
      </c>
      <c r="D1064" s="8" t="s">
        <v>396</v>
      </c>
      <c r="E1064" s="25" t="s">
        <v>1127</v>
      </c>
      <c r="F1064" s="18"/>
      <c r="G1064" s="18"/>
      <c r="H1064" s="17"/>
    </row>
    <row r="1065" spans="1:8" s="40" customFormat="1" ht="12">
      <c r="A1065" s="39">
        <f t="shared" si="16"/>
        <v>2</v>
      </c>
      <c r="B1065" s="39" t="s">
        <v>1385</v>
      </c>
      <c r="C1065" s="7" t="s">
        <v>1127</v>
      </c>
      <c r="D1065" s="8" t="s">
        <v>637</v>
      </c>
      <c r="E1065" s="25" t="s">
        <v>1127</v>
      </c>
      <c r="F1065" s="18"/>
      <c r="G1065" s="18"/>
      <c r="H1065" s="17"/>
    </row>
    <row r="1066" spans="1:8" s="40" customFormat="1" ht="24">
      <c r="A1066" s="39">
        <f t="shared" si="16"/>
        <v>2</v>
      </c>
      <c r="B1066" s="39" t="s">
        <v>1385</v>
      </c>
      <c r="C1066" s="7" t="s">
        <v>1127</v>
      </c>
      <c r="D1066" s="8" t="s">
        <v>879</v>
      </c>
      <c r="E1066" s="25" t="s">
        <v>1127</v>
      </c>
      <c r="F1066" s="18"/>
      <c r="G1066" s="18"/>
      <c r="H1066" s="17"/>
    </row>
    <row r="1067" spans="1:8" s="3" customFormat="1" ht="24">
      <c r="A1067" s="41">
        <f t="shared" si="16"/>
        <v>2</v>
      </c>
      <c r="B1067" s="41" t="s">
        <v>1386</v>
      </c>
      <c r="C1067" s="1" t="s">
        <v>992</v>
      </c>
      <c r="D1067" s="2" t="s">
        <v>880</v>
      </c>
      <c r="E1067" s="26" t="s">
        <v>1206</v>
      </c>
      <c r="F1067" s="19">
        <v>0</v>
      </c>
      <c r="G1067" s="19"/>
      <c r="H1067" s="17">
        <f>ROUND((P_2_87 Qté)*(P_2_87 PU),2)</f>
        <v>0</v>
      </c>
    </row>
    <row r="1068" spans="1:8" s="40" customFormat="1" ht="36">
      <c r="A1068" s="39">
        <f t="shared" si="16"/>
        <v>2</v>
      </c>
      <c r="B1068" s="39" t="s">
        <v>1385</v>
      </c>
      <c r="C1068" s="7" t="s">
        <v>1127</v>
      </c>
      <c r="D1068" s="8" t="s">
        <v>881</v>
      </c>
      <c r="E1068" s="25" t="s">
        <v>1127</v>
      </c>
      <c r="F1068" s="18"/>
      <c r="G1068" s="18"/>
      <c r="H1068" s="17"/>
    </row>
    <row r="1069" spans="1:8" s="40" customFormat="1" ht="36">
      <c r="A1069" s="39">
        <f t="shared" si="16"/>
        <v>2</v>
      </c>
      <c r="B1069" s="39" t="s">
        <v>1385</v>
      </c>
      <c r="C1069" s="7" t="s">
        <v>1127</v>
      </c>
      <c r="D1069" s="8" t="s">
        <v>398</v>
      </c>
      <c r="E1069" s="25" t="s">
        <v>1127</v>
      </c>
      <c r="F1069" s="18"/>
      <c r="G1069" s="18"/>
      <c r="H1069" s="17"/>
    </row>
    <row r="1070" spans="1:8" s="40" customFormat="1" ht="12">
      <c r="A1070" s="39">
        <f t="shared" si="16"/>
        <v>2</v>
      </c>
      <c r="B1070" s="39" t="s">
        <v>1385</v>
      </c>
      <c r="C1070" s="7" t="s">
        <v>1127</v>
      </c>
      <c r="D1070" s="8" t="s">
        <v>399</v>
      </c>
      <c r="E1070" s="25" t="s">
        <v>1127</v>
      </c>
      <c r="F1070" s="18"/>
      <c r="G1070" s="18"/>
      <c r="H1070" s="17"/>
    </row>
    <row r="1071" spans="1:8" s="3" customFormat="1" ht="24">
      <c r="A1071" s="41">
        <f t="shared" si="16"/>
        <v>2</v>
      </c>
      <c r="B1071" s="41" t="s">
        <v>1386</v>
      </c>
      <c r="C1071" s="1" t="s">
        <v>993</v>
      </c>
      <c r="D1071" s="2" t="s">
        <v>882</v>
      </c>
      <c r="E1071" s="26" t="s">
        <v>1213</v>
      </c>
      <c r="F1071" s="19">
        <v>0</v>
      </c>
      <c r="G1071" s="19"/>
      <c r="H1071" s="17">
        <f>ROUND((P_2_88 Qté)*(P_2_88 PU),2)</f>
        <v>0</v>
      </c>
    </row>
    <row r="1072" spans="1:8" s="40" customFormat="1" ht="36">
      <c r="A1072" s="39">
        <f aca="true" t="shared" si="17" ref="A1072:A1135">A1071</f>
        <v>2</v>
      </c>
      <c r="B1072" s="39" t="s">
        <v>1385</v>
      </c>
      <c r="C1072" s="7" t="s">
        <v>1127</v>
      </c>
      <c r="D1072" s="8" t="s">
        <v>883</v>
      </c>
      <c r="E1072" s="25" t="s">
        <v>1127</v>
      </c>
      <c r="F1072" s="18"/>
      <c r="G1072" s="18"/>
      <c r="H1072" s="17"/>
    </row>
    <row r="1073" spans="1:8" s="40" customFormat="1" ht="24">
      <c r="A1073" s="39">
        <f t="shared" si="17"/>
        <v>2</v>
      </c>
      <c r="B1073" s="39" t="s">
        <v>1385</v>
      </c>
      <c r="C1073" s="7" t="s">
        <v>1127</v>
      </c>
      <c r="D1073" s="8" t="s">
        <v>400</v>
      </c>
      <c r="E1073" s="25" t="s">
        <v>1127</v>
      </c>
      <c r="F1073" s="18"/>
      <c r="G1073" s="18"/>
      <c r="H1073" s="17"/>
    </row>
    <row r="1074" spans="1:8" s="40" customFormat="1" ht="12">
      <c r="A1074" s="39">
        <f t="shared" si="17"/>
        <v>2</v>
      </c>
      <c r="B1074" s="39" t="s">
        <v>1385</v>
      </c>
      <c r="C1074" s="7" t="s">
        <v>1127</v>
      </c>
      <c r="D1074" s="8" t="s">
        <v>401</v>
      </c>
      <c r="E1074" s="25" t="s">
        <v>1127</v>
      </c>
      <c r="F1074" s="18"/>
      <c r="G1074" s="18"/>
      <c r="H1074" s="17"/>
    </row>
    <row r="1075" spans="1:8" s="40" customFormat="1" ht="12">
      <c r="A1075" s="39">
        <f t="shared" si="17"/>
        <v>2</v>
      </c>
      <c r="B1075" s="39" t="s">
        <v>1385</v>
      </c>
      <c r="C1075" s="7" t="s">
        <v>1127</v>
      </c>
      <c r="D1075" s="8" t="s">
        <v>322</v>
      </c>
      <c r="E1075" s="25" t="s">
        <v>1127</v>
      </c>
      <c r="F1075" s="18"/>
      <c r="G1075" s="18"/>
      <c r="H1075" s="17"/>
    </row>
    <row r="1076" spans="1:8" s="40" customFormat="1" ht="12">
      <c r="A1076" s="39">
        <f t="shared" si="17"/>
        <v>2</v>
      </c>
      <c r="B1076" s="39" t="s">
        <v>1385</v>
      </c>
      <c r="C1076" s="7" t="s">
        <v>1127</v>
      </c>
      <c r="D1076" s="8" t="s">
        <v>637</v>
      </c>
      <c r="E1076" s="25" t="s">
        <v>1127</v>
      </c>
      <c r="F1076" s="18"/>
      <c r="G1076" s="18"/>
      <c r="H1076" s="17"/>
    </row>
    <row r="1077" spans="1:8" s="3" customFormat="1" ht="24">
      <c r="A1077" s="41">
        <f t="shared" si="17"/>
        <v>2</v>
      </c>
      <c r="B1077" s="41" t="s">
        <v>1386</v>
      </c>
      <c r="C1077" s="1" t="s">
        <v>994</v>
      </c>
      <c r="D1077" s="2" t="s">
        <v>884</v>
      </c>
      <c r="E1077" s="26" t="s">
        <v>1213</v>
      </c>
      <c r="F1077" s="19">
        <v>0</v>
      </c>
      <c r="G1077" s="19"/>
      <c r="H1077" s="17">
        <f>ROUND((P_2_89 Qté)*(P_2_89 PU),2)</f>
        <v>0</v>
      </c>
    </row>
    <row r="1078" spans="1:8" s="40" customFormat="1" ht="36">
      <c r="A1078" s="39">
        <f t="shared" si="17"/>
        <v>2</v>
      </c>
      <c r="B1078" s="39" t="s">
        <v>1385</v>
      </c>
      <c r="C1078" s="7" t="s">
        <v>1127</v>
      </c>
      <c r="D1078" s="8" t="s">
        <v>885</v>
      </c>
      <c r="E1078" s="25" t="s">
        <v>1127</v>
      </c>
      <c r="F1078" s="18"/>
      <c r="G1078" s="18"/>
      <c r="H1078" s="17"/>
    </row>
    <row r="1079" spans="1:8" s="40" customFormat="1" ht="72">
      <c r="A1079" s="39">
        <f t="shared" si="17"/>
        <v>2</v>
      </c>
      <c r="B1079" s="39" t="s">
        <v>1385</v>
      </c>
      <c r="C1079" s="7" t="s">
        <v>1127</v>
      </c>
      <c r="D1079" s="8" t="s">
        <v>402</v>
      </c>
      <c r="E1079" s="25" t="s">
        <v>1127</v>
      </c>
      <c r="F1079" s="18"/>
      <c r="G1079" s="18"/>
      <c r="H1079" s="17"/>
    </row>
    <row r="1080" spans="1:8" s="40" customFormat="1" ht="24">
      <c r="A1080" s="39">
        <f t="shared" si="17"/>
        <v>2</v>
      </c>
      <c r="B1080" s="39" t="s">
        <v>1385</v>
      </c>
      <c r="C1080" s="7" t="s">
        <v>1127</v>
      </c>
      <c r="D1080" s="8" t="s">
        <v>403</v>
      </c>
      <c r="E1080" s="25" t="s">
        <v>1127</v>
      </c>
      <c r="F1080" s="18"/>
      <c r="G1080" s="18"/>
      <c r="H1080" s="17"/>
    </row>
    <row r="1081" spans="1:8" s="40" customFormat="1" ht="12">
      <c r="A1081" s="39">
        <f t="shared" si="17"/>
        <v>2</v>
      </c>
      <c r="B1081" s="39" t="s">
        <v>1385</v>
      </c>
      <c r="C1081" s="7" t="s">
        <v>1127</v>
      </c>
      <c r="D1081" s="8" t="s">
        <v>404</v>
      </c>
      <c r="E1081" s="25" t="s">
        <v>1127</v>
      </c>
      <c r="F1081" s="18"/>
      <c r="G1081" s="18"/>
      <c r="H1081" s="17"/>
    </row>
    <row r="1082" spans="1:8" s="40" customFormat="1" ht="12">
      <c r="A1082" s="39">
        <f t="shared" si="17"/>
        <v>2</v>
      </c>
      <c r="B1082" s="39" t="s">
        <v>1385</v>
      </c>
      <c r="C1082" s="7" t="s">
        <v>1127</v>
      </c>
      <c r="D1082" s="8" t="s">
        <v>637</v>
      </c>
      <c r="E1082" s="25" t="s">
        <v>1127</v>
      </c>
      <c r="F1082" s="18"/>
      <c r="G1082" s="18"/>
      <c r="H1082" s="17"/>
    </row>
    <row r="1083" spans="1:8" s="40" customFormat="1" ht="24">
      <c r="A1083" s="39">
        <f t="shared" si="17"/>
        <v>2</v>
      </c>
      <c r="B1083" s="39" t="s">
        <v>1385</v>
      </c>
      <c r="C1083" s="7" t="s">
        <v>1127</v>
      </c>
      <c r="D1083" s="8" t="s">
        <v>886</v>
      </c>
      <c r="E1083" s="25" t="s">
        <v>1127</v>
      </c>
      <c r="F1083" s="18"/>
      <c r="G1083" s="18"/>
      <c r="H1083" s="17"/>
    </row>
    <row r="1084" spans="1:8" s="3" customFormat="1" ht="24">
      <c r="A1084" s="41">
        <f t="shared" si="17"/>
        <v>2</v>
      </c>
      <c r="B1084" s="41" t="s">
        <v>1386</v>
      </c>
      <c r="C1084" s="1" t="s">
        <v>995</v>
      </c>
      <c r="D1084" s="2" t="s">
        <v>1458</v>
      </c>
      <c r="E1084" s="26" t="s">
        <v>1227</v>
      </c>
      <c r="F1084" s="19">
        <v>0</v>
      </c>
      <c r="G1084" s="19"/>
      <c r="H1084" s="17">
        <f>ROUND((P_2_90 Qté)*(P_2_90 PU),2)</f>
        <v>0</v>
      </c>
    </row>
    <row r="1085" spans="1:8" s="40" customFormat="1" ht="36">
      <c r="A1085" s="39">
        <f t="shared" si="17"/>
        <v>2</v>
      </c>
      <c r="B1085" s="39" t="s">
        <v>1385</v>
      </c>
      <c r="C1085" s="7" t="s">
        <v>1127</v>
      </c>
      <c r="D1085" s="8" t="s">
        <v>1459</v>
      </c>
      <c r="E1085" s="25" t="s">
        <v>1127</v>
      </c>
      <c r="F1085" s="18"/>
      <c r="G1085" s="18"/>
      <c r="H1085" s="17"/>
    </row>
    <row r="1086" spans="1:8" s="40" customFormat="1" ht="60">
      <c r="A1086" s="39">
        <f t="shared" si="17"/>
        <v>2</v>
      </c>
      <c r="B1086" s="39" t="s">
        <v>1385</v>
      </c>
      <c r="C1086" s="7" t="s">
        <v>1127</v>
      </c>
      <c r="D1086" s="8" t="s">
        <v>405</v>
      </c>
      <c r="E1086" s="25" t="s">
        <v>1127</v>
      </c>
      <c r="F1086" s="18"/>
      <c r="G1086" s="18"/>
      <c r="H1086" s="17"/>
    </row>
    <row r="1087" spans="1:8" s="40" customFormat="1" ht="24">
      <c r="A1087" s="39">
        <f t="shared" si="17"/>
        <v>2</v>
      </c>
      <c r="B1087" s="39" t="s">
        <v>1385</v>
      </c>
      <c r="C1087" s="7" t="s">
        <v>1127</v>
      </c>
      <c r="D1087" s="8" t="s">
        <v>406</v>
      </c>
      <c r="E1087" s="25" t="s">
        <v>1127</v>
      </c>
      <c r="F1087" s="18"/>
      <c r="G1087" s="18"/>
      <c r="H1087" s="17"/>
    </row>
    <row r="1088" spans="1:8" s="40" customFormat="1" ht="12">
      <c r="A1088" s="39">
        <f t="shared" si="17"/>
        <v>2</v>
      </c>
      <c r="B1088" s="39" t="s">
        <v>1385</v>
      </c>
      <c r="C1088" s="7" t="s">
        <v>1127</v>
      </c>
      <c r="D1088" s="8" t="s">
        <v>407</v>
      </c>
      <c r="E1088" s="25" t="s">
        <v>1127</v>
      </c>
      <c r="F1088" s="18"/>
      <c r="G1088" s="18"/>
      <c r="H1088" s="17"/>
    </row>
    <row r="1089" spans="1:8" s="40" customFormat="1" ht="24">
      <c r="A1089" s="39">
        <f t="shared" si="17"/>
        <v>2</v>
      </c>
      <c r="B1089" s="39" t="s">
        <v>1385</v>
      </c>
      <c r="C1089" s="7" t="s">
        <v>1127</v>
      </c>
      <c r="D1089" s="8" t="s">
        <v>408</v>
      </c>
      <c r="E1089" s="25" t="s">
        <v>1127</v>
      </c>
      <c r="F1089" s="18"/>
      <c r="G1089" s="18"/>
      <c r="H1089" s="17"/>
    </row>
    <row r="1090" spans="1:8" s="40" customFormat="1" ht="24">
      <c r="A1090" s="39">
        <f t="shared" si="17"/>
        <v>2</v>
      </c>
      <c r="B1090" s="39" t="s">
        <v>1385</v>
      </c>
      <c r="C1090" s="7" t="s">
        <v>1127</v>
      </c>
      <c r="D1090" s="8" t="s">
        <v>233</v>
      </c>
      <c r="E1090" s="25" t="s">
        <v>1127</v>
      </c>
      <c r="F1090" s="18"/>
      <c r="G1090" s="18"/>
      <c r="H1090" s="17"/>
    </row>
    <row r="1091" spans="1:8" s="40" customFormat="1" ht="12">
      <c r="A1091" s="39">
        <f t="shared" si="17"/>
        <v>2</v>
      </c>
      <c r="B1091" s="39" t="s">
        <v>1385</v>
      </c>
      <c r="C1091" s="7" t="s">
        <v>1127</v>
      </c>
      <c r="D1091" s="8" t="s">
        <v>409</v>
      </c>
      <c r="E1091" s="25" t="s">
        <v>1127</v>
      </c>
      <c r="F1091" s="18"/>
      <c r="G1091" s="18"/>
      <c r="H1091" s="17"/>
    </row>
    <row r="1092" spans="1:8" s="40" customFormat="1" ht="36">
      <c r="A1092" s="39">
        <f t="shared" si="17"/>
        <v>2</v>
      </c>
      <c r="B1092" s="39" t="s">
        <v>1385</v>
      </c>
      <c r="C1092" s="7" t="s">
        <v>1127</v>
      </c>
      <c r="D1092" s="8" t="s">
        <v>410</v>
      </c>
      <c r="E1092" s="25" t="s">
        <v>1127</v>
      </c>
      <c r="F1092" s="18"/>
      <c r="G1092" s="18"/>
      <c r="H1092" s="17"/>
    </row>
    <row r="1093" spans="1:8" s="40" customFormat="1" ht="36">
      <c r="A1093" s="39">
        <f t="shared" si="17"/>
        <v>2</v>
      </c>
      <c r="B1093" s="39" t="s">
        <v>1385</v>
      </c>
      <c r="C1093" s="7" t="s">
        <v>1127</v>
      </c>
      <c r="D1093" s="8" t="s">
        <v>411</v>
      </c>
      <c r="E1093" s="25" t="s">
        <v>1127</v>
      </c>
      <c r="F1093" s="18"/>
      <c r="G1093" s="18"/>
      <c r="H1093" s="17"/>
    </row>
    <row r="1094" spans="1:8" s="40" customFormat="1" ht="36">
      <c r="A1094" s="39">
        <f t="shared" si="17"/>
        <v>2</v>
      </c>
      <c r="B1094" s="39" t="s">
        <v>1385</v>
      </c>
      <c r="C1094" s="7" t="s">
        <v>1127</v>
      </c>
      <c r="D1094" s="8" t="s">
        <v>412</v>
      </c>
      <c r="E1094" s="25" t="s">
        <v>1127</v>
      </c>
      <c r="F1094" s="18"/>
      <c r="G1094" s="18"/>
      <c r="H1094" s="17"/>
    </row>
    <row r="1095" spans="1:8" s="40" customFormat="1" ht="12">
      <c r="A1095" s="39">
        <f t="shared" si="17"/>
        <v>2</v>
      </c>
      <c r="B1095" s="39" t="s">
        <v>1385</v>
      </c>
      <c r="C1095" s="7" t="s">
        <v>1127</v>
      </c>
      <c r="D1095" s="8" t="s">
        <v>637</v>
      </c>
      <c r="E1095" s="25" t="s">
        <v>1127</v>
      </c>
      <c r="F1095" s="18"/>
      <c r="G1095" s="18"/>
      <c r="H1095" s="17"/>
    </row>
    <row r="1096" spans="1:8" s="3" customFormat="1" ht="36">
      <c r="A1096" s="41">
        <f t="shared" si="17"/>
        <v>2</v>
      </c>
      <c r="B1096" s="41" t="s">
        <v>1386</v>
      </c>
      <c r="C1096" s="1" t="s">
        <v>996</v>
      </c>
      <c r="D1096" s="2" t="s">
        <v>1460</v>
      </c>
      <c r="E1096" s="26" t="s">
        <v>1227</v>
      </c>
      <c r="F1096" s="19">
        <v>0</v>
      </c>
      <c r="G1096" s="19"/>
      <c r="H1096" s="17">
        <f>ROUND((P_2_91 Qté)*(P_2_91 PU),2)</f>
        <v>0</v>
      </c>
    </row>
    <row r="1097" spans="1:8" s="40" customFormat="1" ht="36">
      <c r="A1097" s="39">
        <f t="shared" si="17"/>
        <v>2</v>
      </c>
      <c r="B1097" s="39" t="s">
        <v>1385</v>
      </c>
      <c r="C1097" s="7" t="s">
        <v>1127</v>
      </c>
      <c r="D1097" s="8" t="s">
        <v>1461</v>
      </c>
      <c r="E1097" s="25" t="s">
        <v>1127</v>
      </c>
      <c r="F1097" s="18"/>
      <c r="G1097" s="18"/>
      <c r="H1097" s="17"/>
    </row>
    <row r="1098" spans="1:8" s="40" customFormat="1" ht="60">
      <c r="A1098" s="39">
        <f t="shared" si="17"/>
        <v>2</v>
      </c>
      <c r="B1098" s="39" t="s">
        <v>1385</v>
      </c>
      <c r="C1098" s="7" t="s">
        <v>1127</v>
      </c>
      <c r="D1098" s="8" t="s">
        <v>413</v>
      </c>
      <c r="E1098" s="25" t="s">
        <v>1127</v>
      </c>
      <c r="F1098" s="18"/>
      <c r="G1098" s="18"/>
      <c r="H1098" s="17"/>
    </row>
    <row r="1099" spans="1:8" s="40" customFormat="1" ht="12">
      <c r="A1099" s="39">
        <f t="shared" si="17"/>
        <v>2</v>
      </c>
      <c r="B1099" s="39" t="s">
        <v>1385</v>
      </c>
      <c r="C1099" s="7" t="s">
        <v>1127</v>
      </c>
      <c r="D1099" s="8" t="s">
        <v>414</v>
      </c>
      <c r="E1099" s="25" t="s">
        <v>1127</v>
      </c>
      <c r="F1099" s="18"/>
      <c r="G1099" s="18"/>
      <c r="H1099" s="17"/>
    </row>
    <row r="1100" spans="1:8" s="40" customFormat="1" ht="12">
      <c r="A1100" s="39">
        <f t="shared" si="17"/>
        <v>2</v>
      </c>
      <c r="B1100" s="39" t="s">
        <v>1385</v>
      </c>
      <c r="C1100" s="7" t="s">
        <v>1127</v>
      </c>
      <c r="D1100" s="8" t="s">
        <v>415</v>
      </c>
      <c r="E1100" s="25" t="s">
        <v>1127</v>
      </c>
      <c r="F1100" s="18"/>
      <c r="G1100" s="18"/>
      <c r="H1100" s="17"/>
    </row>
    <row r="1101" spans="1:8" s="40" customFormat="1" ht="36">
      <c r="A1101" s="39">
        <f t="shared" si="17"/>
        <v>2</v>
      </c>
      <c r="B1101" s="39" t="s">
        <v>1385</v>
      </c>
      <c r="C1101" s="7" t="s">
        <v>1127</v>
      </c>
      <c r="D1101" s="8" t="s">
        <v>416</v>
      </c>
      <c r="E1101" s="25" t="s">
        <v>1127</v>
      </c>
      <c r="F1101" s="18"/>
      <c r="G1101" s="18"/>
      <c r="H1101" s="17"/>
    </row>
    <row r="1102" spans="1:8" s="40" customFormat="1" ht="12">
      <c r="A1102" s="39">
        <f t="shared" si="17"/>
        <v>2</v>
      </c>
      <c r="B1102" s="39" t="s">
        <v>1385</v>
      </c>
      <c r="C1102" s="7" t="s">
        <v>1127</v>
      </c>
      <c r="D1102" s="8" t="s">
        <v>637</v>
      </c>
      <c r="E1102" s="25" t="s">
        <v>1127</v>
      </c>
      <c r="F1102" s="18"/>
      <c r="G1102" s="18"/>
      <c r="H1102" s="17"/>
    </row>
    <row r="1103" spans="1:8" s="3" customFormat="1" ht="24">
      <c r="A1103" s="41">
        <f t="shared" si="17"/>
        <v>2</v>
      </c>
      <c r="B1103" s="41" t="s">
        <v>1386</v>
      </c>
      <c r="C1103" s="1" t="s">
        <v>997</v>
      </c>
      <c r="D1103" s="2" t="s">
        <v>1462</v>
      </c>
      <c r="E1103" s="26" t="s">
        <v>1464</v>
      </c>
      <c r="F1103" s="19">
        <v>0</v>
      </c>
      <c r="G1103" s="19"/>
      <c r="H1103" s="17">
        <f>ROUND((P_2_92 Qté)*(P_2_92 PU),2)</f>
        <v>0</v>
      </c>
    </row>
    <row r="1104" spans="1:8" s="40" customFormat="1" ht="24">
      <c r="A1104" s="39">
        <f t="shared" si="17"/>
        <v>2</v>
      </c>
      <c r="B1104" s="39" t="s">
        <v>1385</v>
      </c>
      <c r="C1104" s="7" t="s">
        <v>1127</v>
      </c>
      <c r="D1104" s="8" t="s">
        <v>1463</v>
      </c>
      <c r="E1104" s="25" t="s">
        <v>1127</v>
      </c>
      <c r="F1104" s="18"/>
      <c r="G1104" s="18"/>
      <c r="H1104" s="17"/>
    </row>
    <row r="1105" spans="1:8" s="40" customFormat="1" ht="24">
      <c r="A1105" s="39">
        <f t="shared" si="17"/>
        <v>2</v>
      </c>
      <c r="B1105" s="39" t="s">
        <v>1385</v>
      </c>
      <c r="C1105" s="7" t="s">
        <v>1127</v>
      </c>
      <c r="D1105" s="8" t="s">
        <v>417</v>
      </c>
      <c r="E1105" s="25" t="s">
        <v>1127</v>
      </c>
      <c r="F1105" s="18"/>
      <c r="G1105" s="18"/>
      <c r="H1105" s="17"/>
    </row>
    <row r="1106" spans="1:8" s="40" customFormat="1" ht="36">
      <c r="A1106" s="39">
        <f t="shared" si="17"/>
        <v>2</v>
      </c>
      <c r="B1106" s="39" t="s">
        <v>1385</v>
      </c>
      <c r="C1106" s="7" t="s">
        <v>1127</v>
      </c>
      <c r="D1106" s="8" t="s">
        <v>418</v>
      </c>
      <c r="E1106" s="25" t="s">
        <v>1127</v>
      </c>
      <c r="F1106" s="18"/>
      <c r="G1106" s="18"/>
      <c r="H1106" s="17"/>
    </row>
    <row r="1107" spans="1:8" s="40" customFormat="1" ht="12">
      <c r="A1107" s="39">
        <f t="shared" si="17"/>
        <v>2</v>
      </c>
      <c r="B1107" s="39" t="s">
        <v>1385</v>
      </c>
      <c r="C1107" s="7" t="s">
        <v>1127</v>
      </c>
      <c r="D1107" s="8" t="s">
        <v>419</v>
      </c>
      <c r="E1107" s="25" t="s">
        <v>1127</v>
      </c>
      <c r="F1107" s="18"/>
      <c r="G1107" s="18"/>
      <c r="H1107" s="17"/>
    </row>
    <row r="1108" spans="1:8" s="40" customFormat="1" ht="36">
      <c r="A1108" s="39">
        <f t="shared" si="17"/>
        <v>2</v>
      </c>
      <c r="B1108" s="39" t="s">
        <v>1385</v>
      </c>
      <c r="C1108" s="7" t="s">
        <v>1127</v>
      </c>
      <c r="D1108" s="8" t="s">
        <v>420</v>
      </c>
      <c r="E1108" s="25" t="s">
        <v>1127</v>
      </c>
      <c r="F1108" s="18"/>
      <c r="G1108" s="18"/>
      <c r="H1108" s="17"/>
    </row>
    <row r="1109" spans="1:8" s="40" customFormat="1" ht="24">
      <c r="A1109" s="39">
        <f t="shared" si="17"/>
        <v>2</v>
      </c>
      <c r="B1109" s="39" t="s">
        <v>1385</v>
      </c>
      <c r="C1109" s="7" t="s">
        <v>1127</v>
      </c>
      <c r="D1109" s="8" t="s">
        <v>421</v>
      </c>
      <c r="E1109" s="25" t="s">
        <v>1127</v>
      </c>
      <c r="F1109" s="18"/>
      <c r="G1109" s="18"/>
      <c r="H1109" s="17"/>
    </row>
    <row r="1110" spans="1:8" s="40" customFormat="1" ht="24">
      <c r="A1110" s="39">
        <f t="shared" si="17"/>
        <v>2</v>
      </c>
      <c r="B1110" s="39" t="s">
        <v>1385</v>
      </c>
      <c r="C1110" s="7" t="s">
        <v>1127</v>
      </c>
      <c r="D1110" s="8" t="s">
        <v>422</v>
      </c>
      <c r="E1110" s="25" t="s">
        <v>1127</v>
      </c>
      <c r="F1110" s="18"/>
      <c r="G1110" s="18"/>
      <c r="H1110" s="17"/>
    </row>
    <row r="1111" spans="1:8" s="40" customFormat="1" ht="12">
      <c r="A1111" s="39">
        <f t="shared" si="17"/>
        <v>2</v>
      </c>
      <c r="B1111" s="39" t="s">
        <v>1385</v>
      </c>
      <c r="C1111" s="7" t="s">
        <v>1127</v>
      </c>
      <c r="D1111" s="8" t="s">
        <v>637</v>
      </c>
      <c r="E1111" s="25" t="s">
        <v>1127</v>
      </c>
      <c r="F1111" s="18"/>
      <c r="G1111" s="18"/>
      <c r="H1111" s="17"/>
    </row>
    <row r="1112" spans="1:8" s="3" customFormat="1" ht="24">
      <c r="A1112" s="41">
        <f t="shared" si="17"/>
        <v>2</v>
      </c>
      <c r="B1112" s="41" t="s">
        <v>1386</v>
      </c>
      <c r="C1112" s="1" t="s">
        <v>998</v>
      </c>
      <c r="D1112" s="2" t="s">
        <v>1465</v>
      </c>
      <c r="E1112" s="26" t="s">
        <v>1464</v>
      </c>
      <c r="F1112" s="19">
        <v>0</v>
      </c>
      <c r="G1112" s="19"/>
      <c r="H1112" s="17">
        <f>ROUND((P_2_93 Qté)*(P_2_93 PU),2)</f>
        <v>0</v>
      </c>
    </row>
    <row r="1113" spans="1:8" s="40" customFormat="1" ht="24">
      <c r="A1113" s="39">
        <f t="shared" si="17"/>
        <v>2</v>
      </c>
      <c r="B1113" s="39" t="s">
        <v>1385</v>
      </c>
      <c r="C1113" s="7" t="s">
        <v>1127</v>
      </c>
      <c r="D1113" s="8" t="s">
        <v>1466</v>
      </c>
      <c r="E1113" s="25" t="s">
        <v>1127</v>
      </c>
      <c r="F1113" s="18"/>
      <c r="G1113" s="18"/>
      <c r="H1113" s="17"/>
    </row>
    <row r="1114" spans="1:8" s="40" customFormat="1" ht="36">
      <c r="A1114" s="39">
        <f t="shared" si="17"/>
        <v>2</v>
      </c>
      <c r="B1114" s="39" t="s">
        <v>1385</v>
      </c>
      <c r="C1114" s="7" t="s">
        <v>1127</v>
      </c>
      <c r="D1114" s="8" t="s">
        <v>423</v>
      </c>
      <c r="E1114" s="25" t="s">
        <v>1127</v>
      </c>
      <c r="F1114" s="18"/>
      <c r="G1114" s="18"/>
      <c r="H1114" s="17"/>
    </row>
    <row r="1115" spans="1:8" s="40" customFormat="1" ht="12">
      <c r="A1115" s="39">
        <f t="shared" si="17"/>
        <v>2</v>
      </c>
      <c r="B1115" s="39" t="s">
        <v>1385</v>
      </c>
      <c r="C1115" s="7" t="s">
        <v>1127</v>
      </c>
      <c r="D1115" s="8" t="s">
        <v>415</v>
      </c>
      <c r="E1115" s="25" t="s">
        <v>1127</v>
      </c>
      <c r="F1115" s="18"/>
      <c r="G1115" s="18"/>
      <c r="H1115" s="17"/>
    </row>
    <row r="1116" spans="1:8" s="40" customFormat="1" ht="24">
      <c r="A1116" s="39">
        <f t="shared" si="17"/>
        <v>2</v>
      </c>
      <c r="B1116" s="39" t="s">
        <v>1385</v>
      </c>
      <c r="C1116" s="7" t="s">
        <v>1127</v>
      </c>
      <c r="D1116" s="8" t="s">
        <v>424</v>
      </c>
      <c r="E1116" s="25" t="s">
        <v>1127</v>
      </c>
      <c r="F1116" s="18"/>
      <c r="G1116" s="18"/>
      <c r="H1116" s="17"/>
    </row>
    <row r="1117" spans="1:8" s="40" customFormat="1" ht="24">
      <c r="A1117" s="39">
        <f t="shared" si="17"/>
        <v>2</v>
      </c>
      <c r="B1117" s="39" t="s">
        <v>1385</v>
      </c>
      <c r="C1117" s="7" t="s">
        <v>1127</v>
      </c>
      <c r="D1117" s="8" t="s">
        <v>425</v>
      </c>
      <c r="E1117" s="25" t="s">
        <v>1127</v>
      </c>
      <c r="F1117" s="18"/>
      <c r="G1117" s="18"/>
      <c r="H1117" s="17"/>
    </row>
    <row r="1118" spans="1:8" s="40" customFormat="1" ht="24">
      <c r="A1118" s="39">
        <f t="shared" si="17"/>
        <v>2</v>
      </c>
      <c r="B1118" s="39" t="s">
        <v>1385</v>
      </c>
      <c r="C1118" s="7" t="s">
        <v>1127</v>
      </c>
      <c r="D1118" s="8" t="s">
        <v>426</v>
      </c>
      <c r="E1118" s="25" t="s">
        <v>1127</v>
      </c>
      <c r="F1118" s="18"/>
      <c r="G1118" s="18"/>
      <c r="H1118" s="17"/>
    </row>
    <row r="1119" spans="1:8" s="40" customFormat="1" ht="36">
      <c r="A1119" s="39">
        <f t="shared" si="17"/>
        <v>2</v>
      </c>
      <c r="B1119" s="39" t="s">
        <v>1385</v>
      </c>
      <c r="C1119" s="7" t="s">
        <v>1127</v>
      </c>
      <c r="D1119" s="8" t="s">
        <v>427</v>
      </c>
      <c r="E1119" s="25" t="s">
        <v>1127</v>
      </c>
      <c r="F1119" s="18"/>
      <c r="G1119" s="18"/>
      <c r="H1119" s="17"/>
    </row>
    <row r="1120" spans="1:8" s="40" customFormat="1" ht="24">
      <c r="A1120" s="39">
        <f t="shared" si="17"/>
        <v>2</v>
      </c>
      <c r="B1120" s="39" t="s">
        <v>1385</v>
      </c>
      <c r="C1120" s="7" t="s">
        <v>1127</v>
      </c>
      <c r="D1120" s="8" t="s">
        <v>422</v>
      </c>
      <c r="E1120" s="25" t="s">
        <v>1127</v>
      </c>
      <c r="F1120" s="18"/>
      <c r="G1120" s="18"/>
      <c r="H1120" s="17"/>
    </row>
    <row r="1121" spans="1:8" s="40" customFormat="1" ht="12">
      <c r="A1121" s="39">
        <f t="shared" si="17"/>
        <v>2</v>
      </c>
      <c r="B1121" s="39" t="s">
        <v>1385</v>
      </c>
      <c r="C1121" s="7" t="s">
        <v>1127</v>
      </c>
      <c r="D1121" s="8" t="s">
        <v>637</v>
      </c>
      <c r="E1121" s="25" t="s">
        <v>1127</v>
      </c>
      <c r="F1121" s="18"/>
      <c r="G1121" s="18"/>
      <c r="H1121" s="17"/>
    </row>
    <row r="1122" spans="1:8" s="40" customFormat="1" ht="12">
      <c r="A1122" s="39">
        <f t="shared" si="17"/>
        <v>2</v>
      </c>
      <c r="B1122" s="39" t="s">
        <v>1385</v>
      </c>
      <c r="C1122" s="7" t="s">
        <v>1127</v>
      </c>
      <c r="D1122" s="8" t="s">
        <v>1467</v>
      </c>
      <c r="E1122" s="25" t="s">
        <v>1127</v>
      </c>
      <c r="F1122" s="18"/>
      <c r="G1122" s="18"/>
      <c r="H1122" s="17"/>
    </row>
    <row r="1123" spans="1:8" s="40" customFormat="1" ht="12">
      <c r="A1123" s="39">
        <f t="shared" si="17"/>
        <v>2</v>
      </c>
      <c r="B1123" s="39" t="s">
        <v>1385</v>
      </c>
      <c r="C1123" s="7" t="s">
        <v>1127</v>
      </c>
      <c r="D1123" s="8" t="s">
        <v>1468</v>
      </c>
      <c r="E1123" s="25" t="s">
        <v>1127</v>
      </c>
      <c r="F1123" s="18"/>
      <c r="G1123" s="18"/>
      <c r="H1123" s="17"/>
    </row>
    <row r="1124" spans="1:8" s="40" customFormat="1" ht="36">
      <c r="A1124" s="39">
        <f t="shared" si="17"/>
        <v>2</v>
      </c>
      <c r="B1124" s="39" t="s">
        <v>1385</v>
      </c>
      <c r="C1124" s="7" t="s">
        <v>1127</v>
      </c>
      <c r="D1124" s="8" t="s">
        <v>1321</v>
      </c>
      <c r="E1124" s="25" t="s">
        <v>1127</v>
      </c>
      <c r="F1124" s="18"/>
      <c r="G1124" s="18"/>
      <c r="H1124" s="17"/>
    </row>
    <row r="1125" spans="1:8" s="40" customFormat="1" ht="36">
      <c r="A1125" s="39">
        <f t="shared" si="17"/>
        <v>2</v>
      </c>
      <c r="B1125" s="39" t="s">
        <v>1385</v>
      </c>
      <c r="C1125" s="7" t="s">
        <v>1127</v>
      </c>
      <c r="D1125" s="8" t="s">
        <v>1469</v>
      </c>
      <c r="E1125" s="25" t="s">
        <v>1127</v>
      </c>
      <c r="F1125" s="18"/>
      <c r="G1125" s="18"/>
      <c r="H1125" s="17"/>
    </row>
    <row r="1126" spans="1:8" s="40" customFormat="1" ht="24">
      <c r="A1126" s="39">
        <f t="shared" si="17"/>
        <v>2</v>
      </c>
      <c r="B1126" s="39" t="s">
        <v>1385</v>
      </c>
      <c r="C1126" s="7" t="s">
        <v>999</v>
      </c>
      <c r="D1126" s="8" t="s">
        <v>1470</v>
      </c>
      <c r="E1126" s="25" t="s">
        <v>1127</v>
      </c>
      <c r="F1126" s="18"/>
      <c r="G1126" s="18"/>
      <c r="H1126" s="17"/>
    </row>
    <row r="1127" spans="1:8" s="40" customFormat="1" ht="24">
      <c r="A1127" s="39">
        <f t="shared" si="17"/>
        <v>2</v>
      </c>
      <c r="B1127" s="39" t="s">
        <v>1385</v>
      </c>
      <c r="C1127" s="7" t="s">
        <v>1127</v>
      </c>
      <c r="D1127" s="8" t="s">
        <v>1471</v>
      </c>
      <c r="E1127" s="25" t="s">
        <v>1127</v>
      </c>
      <c r="F1127" s="18"/>
      <c r="G1127" s="18"/>
      <c r="H1127" s="17"/>
    </row>
    <row r="1128" spans="1:8" s="40" customFormat="1" ht="12">
      <c r="A1128" s="39">
        <f t="shared" si="17"/>
        <v>2</v>
      </c>
      <c r="B1128" s="39" t="s">
        <v>1385</v>
      </c>
      <c r="C1128" s="7" t="s">
        <v>1127</v>
      </c>
      <c r="D1128" s="8" t="s">
        <v>428</v>
      </c>
      <c r="E1128" s="25" t="s">
        <v>1127</v>
      </c>
      <c r="F1128" s="18"/>
      <c r="G1128" s="18"/>
      <c r="H1128" s="17"/>
    </row>
    <row r="1129" spans="1:8" s="40" customFormat="1" ht="24">
      <c r="A1129" s="39">
        <f t="shared" si="17"/>
        <v>2</v>
      </c>
      <c r="B1129" s="39" t="s">
        <v>1385</v>
      </c>
      <c r="C1129" s="7" t="s">
        <v>1127</v>
      </c>
      <c r="D1129" s="8" t="s">
        <v>429</v>
      </c>
      <c r="E1129" s="25" t="s">
        <v>1127</v>
      </c>
      <c r="F1129" s="18"/>
      <c r="G1129" s="18"/>
      <c r="H1129" s="17"/>
    </row>
    <row r="1130" spans="1:8" s="40" customFormat="1" ht="12">
      <c r="A1130" s="39">
        <f t="shared" si="17"/>
        <v>2</v>
      </c>
      <c r="B1130" s="39" t="s">
        <v>1385</v>
      </c>
      <c r="C1130" s="7" t="s">
        <v>1127</v>
      </c>
      <c r="D1130" s="8" t="s">
        <v>637</v>
      </c>
      <c r="E1130" s="25" t="s">
        <v>1127</v>
      </c>
      <c r="F1130" s="18"/>
      <c r="G1130" s="18"/>
      <c r="H1130" s="17"/>
    </row>
    <row r="1131" spans="1:8" s="40" customFormat="1" ht="24">
      <c r="A1131" s="39">
        <f t="shared" si="17"/>
        <v>2</v>
      </c>
      <c r="B1131" s="39" t="s">
        <v>1385</v>
      </c>
      <c r="C1131" s="7" t="s">
        <v>1127</v>
      </c>
      <c r="D1131" s="8" t="s">
        <v>1472</v>
      </c>
      <c r="E1131" s="25" t="s">
        <v>1127</v>
      </c>
      <c r="F1131" s="18"/>
      <c r="G1131" s="18"/>
      <c r="H1131" s="17"/>
    </row>
    <row r="1132" spans="1:8" s="3" customFormat="1" ht="12">
      <c r="A1132" s="41">
        <f t="shared" si="17"/>
        <v>2</v>
      </c>
      <c r="B1132" s="41" t="s">
        <v>1386</v>
      </c>
      <c r="C1132" s="1" t="s">
        <v>1778</v>
      </c>
      <c r="D1132" s="2" t="s">
        <v>430</v>
      </c>
      <c r="E1132" s="26" t="s">
        <v>1206</v>
      </c>
      <c r="F1132" s="19">
        <v>0</v>
      </c>
      <c r="G1132" s="19"/>
      <c r="H1132" s="17">
        <f>ROUND((P_2_94.a Qté)*(P_2_94.a PU),2)</f>
        <v>0</v>
      </c>
    </row>
    <row r="1133" spans="1:8" s="3" customFormat="1" ht="12">
      <c r="A1133" s="41">
        <f t="shared" si="17"/>
        <v>2</v>
      </c>
      <c r="B1133" s="41" t="s">
        <v>1386</v>
      </c>
      <c r="C1133" s="1" t="s">
        <v>1779</v>
      </c>
      <c r="D1133" s="2" t="s">
        <v>431</v>
      </c>
      <c r="E1133" s="26" t="s">
        <v>1206</v>
      </c>
      <c r="F1133" s="19">
        <v>0</v>
      </c>
      <c r="G1133" s="19"/>
      <c r="H1133" s="17">
        <f>ROUND((P_2_94.b Qté)*(P_2_94.b PU),2)</f>
        <v>0</v>
      </c>
    </row>
    <row r="1134" spans="1:8" s="3" customFormat="1" ht="12">
      <c r="A1134" s="41">
        <f t="shared" si="17"/>
        <v>2</v>
      </c>
      <c r="B1134" s="41" t="s">
        <v>1386</v>
      </c>
      <c r="C1134" s="1" t="s">
        <v>1780</v>
      </c>
      <c r="D1134" s="2" t="s">
        <v>432</v>
      </c>
      <c r="E1134" s="26" t="s">
        <v>1206</v>
      </c>
      <c r="F1134" s="19">
        <v>0</v>
      </c>
      <c r="G1134" s="19"/>
      <c r="H1134" s="17">
        <f>ROUND((P_2_94.c Qté)*(P_2_94.c PU),2)</f>
        <v>0</v>
      </c>
    </row>
    <row r="1135" spans="1:8" s="40" customFormat="1" ht="24">
      <c r="A1135" s="39">
        <f t="shared" si="17"/>
        <v>2</v>
      </c>
      <c r="B1135" s="39" t="s">
        <v>1385</v>
      </c>
      <c r="C1135" s="7" t="s">
        <v>1127</v>
      </c>
      <c r="D1135" s="8" t="s">
        <v>1473</v>
      </c>
      <c r="E1135" s="25" t="s">
        <v>1127</v>
      </c>
      <c r="F1135" s="18"/>
      <c r="G1135" s="18"/>
      <c r="H1135" s="17"/>
    </row>
    <row r="1136" spans="1:8" s="3" customFormat="1" ht="12">
      <c r="A1136" s="41">
        <f aca="true" t="shared" si="18" ref="A1136:A1199">A1135</f>
        <v>2</v>
      </c>
      <c r="B1136" s="41" t="s">
        <v>1386</v>
      </c>
      <c r="C1136" s="1" t="s">
        <v>1781</v>
      </c>
      <c r="D1136" s="2" t="s">
        <v>433</v>
      </c>
      <c r="E1136" s="26" t="s">
        <v>1174</v>
      </c>
      <c r="F1136" s="19">
        <v>0</v>
      </c>
      <c r="G1136" s="19"/>
      <c r="H1136" s="17">
        <f>ROUND((P_2_94.d Qté)*(P_2_94.d PU),2)</f>
        <v>0</v>
      </c>
    </row>
    <row r="1137" spans="1:8" s="3" customFormat="1" ht="12">
      <c r="A1137" s="41">
        <f t="shared" si="18"/>
        <v>2</v>
      </c>
      <c r="B1137" s="41" t="s">
        <v>1386</v>
      </c>
      <c r="C1137" s="1" t="s">
        <v>1782</v>
      </c>
      <c r="D1137" s="2" t="s">
        <v>434</v>
      </c>
      <c r="E1137" s="26" t="s">
        <v>1174</v>
      </c>
      <c r="F1137" s="19">
        <v>0</v>
      </c>
      <c r="G1137" s="19"/>
      <c r="H1137" s="17">
        <f>ROUND((P_2_94.e Qté)*(P_2_94.e PU),2)</f>
        <v>0</v>
      </c>
    </row>
    <row r="1138" spans="1:8" s="3" customFormat="1" ht="12">
      <c r="A1138" s="41">
        <f t="shared" si="18"/>
        <v>2</v>
      </c>
      <c r="B1138" s="41" t="s">
        <v>1386</v>
      </c>
      <c r="C1138" s="1" t="s">
        <v>1783</v>
      </c>
      <c r="D1138" s="2" t="s">
        <v>435</v>
      </c>
      <c r="E1138" s="26" t="s">
        <v>1174</v>
      </c>
      <c r="F1138" s="19">
        <v>0</v>
      </c>
      <c r="G1138" s="19"/>
      <c r="H1138" s="17">
        <f>ROUND((P_2_94.f Qté)*(P_2_94.f PU),2)</f>
        <v>0</v>
      </c>
    </row>
    <row r="1139" spans="1:8" s="40" customFormat="1" ht="36">
      <c r="A1139" s="39">
        <f t="shared" si="18"/>
        <v>2</v>
      </c>
      <c r="B1139" s="39" t="s">
        <v>1385</v>
      </c>
      <c r="C1139" s="7" t="s">
        <v>1000</v>
      </c>
      <c r="D1139" s="8" t="s">
        <v>1157</v>
      </c>
      <c r="E1139" s="25" t="s">
        <v>1127</v>
      </c>
      <c r="F1139" s="18"/>
      <c r="G1139" s="18"/>
      <c r="H1139" s="17"/>
    </row>
    <row r="1140" spans="1:8" s="40" customFormat="1" ht="36">
      <c r="A1140" s="39">
        <f t="shared" si="18"/>
        <v>2</v>
      </c>
      <c r="B1140" s="39" t="s">
        <v>1385</v>
      </c>
      <c r="C1140" s="7" t="s">
        <v>1127</v>
      </c>
      <c r="D1140" s="8" t="s">
        <v>1158</v>
      </c>
      <c r="E1140" s="25" t="s">
        <v>1127</v>
      </c>
      <c r="F1140" s="18"/>
      <c r="G1140" s="18"/>
      <c r="H1140" s="17"/>
    </row>
    <row r="1141" spans="1:8" s="40" customFormat="1" ht="24">
      <c r="A1141" s="39">
        <f t="shared" si="18"/>
        <v>2</v>
      </c>
      <c r="B1141" s="39" t="s">
        <v>1385</v>
      </c>
      <c r="C1141" s="7" t="s">
        <v>1127</v>
      </c>
      <c r="D1141" s="8" t="s">
        <v>436</v>
      </c>
      <c r="E1141" s="25" t="s">
        <v>1127</v>
      </c>
      <c r="F1141" s="18"/>
      <c r="G1141" s="18"/>
      <c r="H1141" s="17"/>
    </row>
    <row r="1142" spans="1:8" s="40" customFormat="1" ht="12">
      <c r="A1142" s="39">
        <f t="shared" si="18"/>
        <v>2</v>
      </c>
      <c r="B1142" s="39" t="s">
        <v>1385</v>
      </c>
      <c r="C1142" s="7" t="s">
        <v>1127</v>
      </c>
      <c r="D1142" s="8" t="s">
        <v>437</v>
      </c>
      <c r="E1142" s="25" t="s">
        <v>1127</v>
      </c>
      <c r="F1142" s="18"/>
      <c r="G1142" s="18"/>
      <c r="H1142" s="17"/>
    </row>
    <row r="1143" spans="1:8" s="40" customFormat="1" ht="12">
      <c r="A1143" s="39">
        <f t="shared" si="18"/>
        <v>2</v>
      </c>
      <c r="B1143" s="39" t="s">
        <v>1385</v>
      </c>
      <c r="C1143" s="7" t="s">
        <v>1127</v>
      </c>
      <c r="D1143" s="8" t="s">
        <v>428</v>
      </c>
      <c r="E1143" s="25" t="s">
        <v>1127</v>
      </c>
      <c r="F1143" s="18"/>
      <c r="G1143" s="18"/>
      <c r="H1143" s="17"/>
    </row>
    <row r="1144" spans="1:8" s="40" customFormat="1" ht="24">
      <c r="A1144" s="39">
        <f t="shared" si="18"/>
        <v>2</v>
      </c>
      <c r="B1144" s="39" t="s">
        <v>1385</v>
      </c>
      <c r="C1144" s="7" t="s">
        <v>1127</v>
      </c>
      <c r="D1144" s="8" t="s">
        <v>438</v>
      </c>
      <c r="E1144" s="25" t="s">
        <v>1127</v>
      </c>
      <c r="F1144" s="18"/>
      <c r="G1144" s="18"/>
      <c r="H1144" s="17"/>
    </row>
    <row r="1145" spans="1:8" s="40" customFormat="1" ht="36">
      <c r="A1145" s="39">
        <f t="shared" si="18"/>
        <v>2</v>
      </c>
      <c r="B1145" s="39" t="s">
        <v>1385</v>
      </c>
      <c r="C1145" s="7" t="s">
        <v>1127</v>
      </c>
      <c r="D1145" s="8" t="s">
        <v>439</v>
      </c>
      <c r="E1145" s="25" t="s">
        <v>1127</v>
      </c>
      <c r="F1145" s="18"/>
      <c r="G1145" s="18"/>
      <c r="H1145" s="17"/>
    </row>
    <row r="1146" spans="1:8" s="40" customFormat="1" ht="12">
      <c r="A1146" s="39">
        <f t="shared" si="18"/>
        <v>2</v>
      </c>
      <c r="B1146" s="39" t="s">
        <v>1385</v>
      </c>
      <c r="C1146" s="7" t="s">
        <v>1127</v>
      </c>
      <c r="D1146" s="8" t="s">
        <v>637</v>
      </c>
      <c r="E1146" s="25" t="s">
        <v>1127</v>
      </c>
      <c r="F1146" s="18"/>
      <c r="G1146" s="18"/>
      <c r="H1146" s="17"/>
    </row>
    <row r="1147" spans="1:8" s="40" customFormat="1" ht="12">
      <c r="A1147" s="39">
        <f t="shared" si="18"/>
        <v>2</v>
      </c>
      <c r="B1147" s="39" t="s">
        <v>1385</v>
      </c>
      <c r="C1147" s="7" t="s">
        <v>1127</v>
      </c>
      <c r="D1147" s="8" t="s">
        <v>1159</v>
      </c>
      <c r="E1147" s="25" t="s">
        <v>1127</v>
      </c>
      <c r="F1147" s="18"/>
      <c r="G1147" s="18"/>
      <c r="H1147" s="17"/>
    </row>
    <row r="1148" spans="1:8" s="3" customFormat="1" ht="12">
      <c r="A1148" s="41">
        <f t="shared" si="18"/>
        <v>2</v>
      </c>
      <c r="B1148" s="41" t="s">
        <v>1386</v>
      </c>
      <c r="C1148" s="1" t="s">
        <v>1784</v>
      </c>
      <c r="D1148" s="2" t="s">
        <v>440</v>
      </c>
      <c r="E1148" s="26" t="s">
        <v>1206</v>
      </c>
      <c r="F1148" s="19">
        <v>0</v>
      </c>
      <c r="G1148" s="19"/>
      <c r="H1148" s="17">
        <f>ROUND((P_2_95.a Qté)*(P_2_95.a PU),2)</f>
        <v>0</v>
      </c>
    </row>
    <row r="1149" spans="1:8" s="3" customFormat="1" ht="12">
      <c r="A1149" s="41">
        <f t="shared" si="18"/>
        <v>2</v>
      </c>
      <c r="B1149" s="41" t="s">
        <v>1386</v>
      </c>
      <c r="C1149" s="1" t="s">
        <v>1785</v>
      </c>
      <c r="D1149" s="2" t="s">
        <v>441</v>
      </c>
      <c r="E1149" s="26" t="s">
        <v>1206</v>
      </c>
      <c r="F1149" s="19">
        <v>0</v>
      </c>
      <c r="G1149" s="19"/>
      <c r="H1149" s="17">
        <f>ROUND((P_2_95.b Qté)*(P_2_95.b PU),2)</f>
        <v>0</v>
      </c>
    </row>
    <row r="1150" spans="1:8" s="3" customFormat="1" ht="12">
      <c r="A1150" s="41">
        <f t="shared" si="18"/>
        <v>2</v>
      </c>
      <c r="B1150" s="41" t="s">
        <v>1386</v>
      </c>
      <c r="C1150" s="1" t="s">
        <v>1786</v>
      </c>
      <c r="D1150" s="2" t="s">
        <v>442</v>
      </c>
      <c r="E1150" s="26" t="s">
        <v>1206</v>
      </c>
      <c r="F1150" s="19">
        <v>0</v>
      </c>
      <c r="G1150" s="19"/>
      <c r="H1150" s="17">
        <f>ROUND((P_2_95.c Qté)*(P_2_95.c PU),2)</f>
        <v>0</v>
      </c>
    </row>
    <row r="1151" spans="1:8" s="3" customFormat="1" ht="12">
      <c r="A1151" s="41">
        <f t="shared" si="18"/>
        <v>2</v>
      </c>
      <c r="B1151" s="41" t="s">
        <v>1386</v>
      </c>
      <c r="C1151" s="1" t="s">
        <v>1787</v>
      </c>
      <c r="D1151" s="2" t="s">
        <v>443</v>
      </c>
      <c r="E1151" s="26" t="s">
        <v>1206</v>
      </c>
      <c r="F1151" s="19">
        <v>0</v>
      </c>
      <c r="G1151" s="19"/>
      <c r="H1151" s="17">
        <f>ROUND((P_2_95.d Qté)*(P_2_95.d PU),2)</f>
        <v>0</v>
      </c>
    </row>
    <row r="1152" spans="1:8" s="3" customFormat="1" ht="12">
      <c r="A1152" s="41">
        <f t="shared" si="18"/>
        <v>2</v>
      </c>
      <c r="B1152" s="41" t="s">
        <v>1386</v>
      </c>
      <c r="C1152" s="1" t="s">
        <v>1788</v>
      </c>
      <c r="D1152" s="2" t="s">
        <v>444</v>
      </c>
      <c r="E1152" s="26" t="s">
        <v>1206</v>
      </c>
      <c r="F1152" s="19">
        <v>0</v>
      </c>
      <c r="G1152" s="19"/>
      <c r="H1152" s="17">
        <f>ROUND((P_2_95.e Qté)*(P_2_95.e PU),2)</f>
        <v>0</v>
      </c>
    </row>
    <row r="1153" spans="1:8" s="3" customFormat="1" ht="12">
      <c r="A1153" s="41">
        <f t="shared" si="18"/>
        <v>2</v>
      </c>
      <c r="B1153" s="41" t="s">
        <v>1386</v>
      </c>
      <c r="C1153" s="1" t="s">
        <v>1789</v>
      </c>
      <c r="D1153" s="2" t="s">
        <v>445</v>
      </c>
      <c r="E1153" s="26" t="s">
        <v>1206</v>
      </c>
      <c r="F1153" s="19">
        <v>0</v>
      </c>
      <c r="G1153" s="19"/>
      <c r="H1153" s="17">
        <f>ROUND((P_2_95.f Qté)*(P_2_95.f PU),2)</f>
        <v>0</v>
      </c>
    </row>
    <row r="1154" spans="1:8" s="3" customFormat="1" ht="12">
      <c r="A1154" s="41">
        <f t="shared" si="18"/>
        <v>2</v>
      </c>
      <c r="B1154" s="41" t="s">
        <v>1386</v>
      </c>
      <c r="C1154" s="1" t="s">
        <v>1790</v>
      </c>
      <c r="D1154" s="2" t="s">
        <v>446</v>
      </c>
      <c r="E1154" s="26" t="s">
        <v>1206</v>
      </c>
      <c r="F1154" s="19">
        <v>0</v>
      </c>
      <c r="G1154" s="19"/>
      <c r="H1154" s="17">
        <f>ROUND((P_2_95.g Qté)*(P_2_95.g PU),2)</f>
        <v>0</v>
      </c>
    </row>
    <row r="1155" spans="1:8" s="3" customFormat="1" ht="12">
      <c r="A1155" s="41">
        <f t="shared" si="18"/>
        <v>2</v>
      </c>
      <c r="B1155" s="41" t="s">
        <v>1386</v>
      </c>
      <c r="C1155" s="1" t="s">
        <v>1791</v>
      </c>
      <c r="D1155" s="2" t="s">
        <v>447</v>
      </c>
      <c r="E1155" s="26" t="s">
        <v>1206</v>
      </c>
      <c r="F1155" s="19">
        <v>0</v>
      </c>
      <c r="G1155" s="19"/>
      <c r="H1155" s="17">
        <f>ROUND((P_2_95.h Qté)*(P_2_95.h PU),2)</f>
        <v>0</v>
      </c>
    </row>
    <row r="1156" spans="1:8" s="40" customFormat="1" ht="12">
      <c r="A1156" s="39">
        <f t="shared" si="18"/>
        <v>2</v>
      </c>
      <c r="B1156" s="39" t="s">
        <v>1385</v>
      </c>
      <c r="C1156" s="7" t="s">
        <v>1127</v>
      </c>
      <c r="D1156" s="8" t="s">
        <v>1160</v>
      </c>
      <c r="E1156" s="25" t="s">
        <v>1127</v>
      </c>
      <c r="F1156" s="18"/>
      <c r="G1156" s="18"/>
      <c r="H1156" s="17"/>
    </row>
    <row r="1157" spans="1:8" s="3" customFormat="1" ht="12">
      <c r="A1157" s="41">
        <f t="shared" si="18"/>
        <v>2</v>
      </c>
      <c r="B1157" s="41" t="s">
        <v>1386</v>
      </c>
      <c r="C1157" s="1" t="s">
        <v>1792</v>
      </c>
      <c r="D1157" s="2" t="s">
        <v>448</v>
      </c>
      <c r="E1157" s="26" t="s">
        <v>1206</v>
      </c>
      <c r="F1157" s="19">
        <v>0</v>
      </c>
      <c r="G1157" s="19"/>
      <c r="H1157" s="17">
        <f>ROUND((P_2_95.i Qté)*(P_2_95.i PU),2)</f>
        <v>0</v>
      </c>
    </row>
    <row r="1158" spans="1:8" s="3" customFormat="1" ht="12">
      <c r="A1158" s="41">
        <f t="shared" si="18"/>
        <v>2</v>
      </c>
      <c r="B1158" s="41" t="s">
        <v>1386</v>
      </c>
      <c r="C1158" s="1" t="s">
        <v>1793</v>
      </c>
      <c r="D1158" s="2" t="s">
        <v>449</v>
      </c>
      <c r="E1158" s="26" t="s">
        <v>1206</v>
      </c>
      <c r="F1158" s="19">
        <v>0</v>
      </c>
      <c r="G1158" s="19"/>
      <c r="H1158" s="17">
        <f>ROUND((P_2_95.j Qté)*(P_2_95.j PU),2)</f>
        <v>0</v>
      </c>
    </row>
    <row r="1159" spans="1:8" s="3" customFormat="1" ht="12">
      <c r="A1159" s="41">
        <f t="shared" si="18"/>
        <v>2</v>
      </c>
      <c r="B1159" s="41" t="s">
        <v>1386</v>
      </c>
      <c r="C1159" s="1" t="s">
        <v>1794</v>
      </c>
      <c r="D1159" s="2" t="s">
        <v>450</v>
      </c>
      <c r="E1159" s="26" t="s">
        <v>1206</v>
      </c>
      <c r="F1159" s="19">
        <v>0</v>
      </c>
      <c r="G1159" s="19"/>
      <c r="H1159" s="17">
        <f>ROUND((P_2_95.k Qté)*(P_2_95.k PU),2)</f>
        <v>0</v>
      </c>
    </row>
    <row r="1160" spans="1:8" s="3" customFormat="1" ht="12">
      <c r="A1160" s="41">
        <f t="shared" si="18"/>
        <v>2</v>
      </c>
      <c r="B1160" s="41" t="s">
        <v>1386</v>
      </c>
      <c r="C1160" s="1" t="s">
        <v>1795</v>
      </c>
      <c r="D1160" s="2" t="s">
        <v>451</v>
      </c>
      <c r="E1160" s="26" t="s">
        <v>1206</v>
      </c>
      <c r="F1160" s="19">
        <v>0</v>
      </c>
      <c r="G1160" s="19"/>
      <c r="H1160" s="17">
        <f>ROUND((P_2_95.l Qté)*(P_2_95.l PU),2)</f>
        <v>0</v>
      </c>
    </row>
    <row r="1161" spans="1:8" s="3" customFormat="1" ht="12">
      <c r="A1161" s="41">
        <f t="shared" si="18"/>
        <v>2</v>
      </c>
      <c r="B1161" s="41" t="s">
        <v>1386</v>
      </c>
      <c r="C1161" s="1" t="s">
        <v>1796</v>
      </c>
      <c r="D1161" s="2" t="s">
        <v>452</v>
      </c>
      <c r="E1161" s="26" t="s">
        <v>1206</v>
      </c>
      <c r="F1161" s="19">
        <v>0</v>
      </c>
      <c r="G1161" s="19"/>
      <c r="H1161" s="17">
        <f>ROUND((P_2_95.m Qté)*(P_2_95.m PU),2)</f>
        <v>0</v>
      </c>
    </row>
    <row r="1162" spans="1:8" s="3" customFormat="1" ht="12">
      <c r="A1162" s="41">
        <f t="shared" si="18"/>
        <v>2</v>
      </c>
      <c r="B1162" s="41" t="s">
        <v>1386</v>
      </c>
      <c r="C1162" s="1" t="s">
        <v>1797</v>
      </c>
      <c r="D1162" s="2" t="s">
        <v>453</v>
      </c>
      <c r="E1162" s="26" t="s">
        <v>1206</v>
      </c>
      <c r="F1162" s="19">
        <v>0</v>
      </c>
      <c r="G1162" s="19"/>
      <c r="H1162" s="17">
        <f>ROUND((P_2_95.n Qté)*(P_2_95.n PU),2)</f>
        <v>0</v>
      </c>
    </row>
    <row r="1163" spans="1:8" s="3" customFormat="1" ht="12">
      <c r="A1163" s="41">
        <f t="shared" si="18"/>
        <v>2</v>
      </c>
      <c r="B1163" s="41" t="s">
        <v>1386</v>
      </c>
      <c r="C1163" s="1" t="s">
        <v>1798</v>
      </c>
      <c r="D1163" s="2" t="s">
        <v>454</v>
      </c>
      <c r="E1163" s="26" t="s">
        <v>1206</v>
      </c>
      <c r="F1163" s="19">
        <v>0</v>
      </c>
      <c r="G1163" s="19"/>
      <c r="H1163" s="17">
        <f>ROUND((P_2_95.o Qté)*(P_2_95.o PU),2)</f>
        <v>0</v>
      </c>
    </row>
    <row r="1164" spans="1:8" s="3" customFormat="1" ht="12">
      <c r="A1164" s="41">
        <f t="shared" si="18"/>
        <v>2</v>
      </c>
      <c r="B1164" s="41" t="s">
        <v>1386</v>
      </c>
      <c r="C1164" s="1" t="s">
        <v>1799</v>
      </c>
      <c r="D1164" s="2" t="s">
        <v>455</v>
      </c>
      <c r="E1164" s="26" t="s">
        <v>1206</v>
      </c>
      <c r="F1164" s="19">
        <v>0</v>
      </c>
      <c r="G1164" s="19"/>
      <c r="H1164" s="17">
        <f>ROUND((P_2_95.p Qté)*(P_2_95.p PU),2)</f>
        <v>0</v>
      </c>
    </row>
    <row r="1165" spans="1:8" s="40" customFormat="1" ht="24">
      <c r="A1165" s="39">
        <f t="shared" si="18"/>
        <v>2</v>
      </c>
      <c r="B1165" s="39" t="s">
        <v>1385</v>
      </c>
      <c r="C1165" s="7" t="s">
        <v>1127</v>
      </c>
      <c r="D1165" s="8" t="s">
        <v>1161</v>
      </c>
      <c r="E1165" s="25" t="s">
        <v>1127</v>
      </c>
      <c r="F1165" s="18"/>
      <c r="G1165" s="18"/>
      <c r="H1165" s="17"/>
    </row>
    <row r="1166" spans="1:8" s="3" customFormat="1" ht="12">
      <c r="A1166" s="41">
        <f t="shared" si="18"/>
        <v>2</v>
      </c>
      <c r="B1166" s="41" t="s">
        <v>1386</v>
      </c>
      <c r="C1166" s="1" t="s">
        <v>1800</v>
      </c>
      <c r="D1166" s="2" t="s">
        <v>456</v>
      </c>
      <c r="E1166" s="26" t="s">
        <v>1206</v>
      </c>
      <c r="F1166" s="19">
        <v>0</v>
      </c>
      <c r="G1166" s="19"/>
      <c r="H1166" s="17">
        <f>ROUND((P_2_95.q Qté)*(P_2_95.q PU),2)</f>
        <v>0</v>
      </c>
    </row>
    <row r="1167" spans="1:8" s="3" customFormat="1" ht="12">
      <c r="A1167" s="41">
        <f t="shared" si="18"/>
        <v>2</v>
      </c>
      <c r="B1167" s="41" t="s">
        <v>1386</v>
      </c>
      <c r="C1167" s="1" t="s">
        <v>1801</v>
      </c>
      <c r="D1167" s="2" t="s">
        <v>457</v>
      </c>
      <c r="E1167" s="26" t="s">
        <v>1206</v>
      </c>
      <c r="F1167" s="19">
        <v>0</v>
      </c>
      <c r="G1167" s="19"/>
      <c r="H1167" s="17">
        <f>ROUND((P_2_95.r Qté)*(P_2_95.r PU),2)</f>
        <v>0</v>
      </c>
    </row>
    <row r="1168" spans="1:8" s="3" customFormat="1" ht="12">
      <c r="A1168" s="41">
        <f t="shared" si="18"/>
        <v>2</v>
      </c>
      <c r="B1168" s="41" t="s">
        <v>1386</v>
      </c>
      <c r="C1168" s="1" t="s">
        <v>1802</v>
      </c>
      <c r="D1168" s="2" t="s">
        <v>458</v>
      </c>
      <c r="E1168" s="26" t="s">
        <v>1206</v>
      </c>
      <c r="F1168" s="19">
        <v>0</v>
      </c>
      <c r="G1168" s="19"/>
      <c r="H1168" s="17">
        <f>ROUND((P_2_95.s Qté)*(P_2_95.s PU),2)</f>
        <v>0</v>
      </c>
    </row>
    <row r="1169" spans="1:8" s="3" customFormat="1" ht="12">
      <c r="A1169" s="41">
        <f t="shared" si="18"/>
        <v>2</v>
      </c>
      <c r="B1169" s="41" t="s">
        <v>1386</v>
      </c>
      <c r="C1169" s="1" t="s">
        <v>1803</v>
      </c>
      <c r="D1169" s="2" t="s">
        <v>459</v>
      </c>
      <c r="E1169" s="26" t="s">
        <v>1206</v>
      </c>
      <c r="F1169" s="19">
        <v>0</v>
      </c>
      <c r="G1169" s="19"/>
      <c r="H1169" s="17">
        <f>ROUND((P_2_95.t Qté)*(P_2_95.t PU),2)</f>
        <v>0</v>
      </c>
    </row>
    <row r="1170" spans="1:8" s="3" customFormat="1" ht="12">
      <c r="A1170" s="41">
        <f t="shared" si="18"/>
        <v>2</v>
      </c>
      <c r="B1170" s="41" t="s">
        <v>1386</v>
      </c>
      <c r="C1170" s="1" t="s">
        <v>1804</v>
      </c>
      <c r="D1170" s="2" t="s">
        <v>460</v>
      </c>
      <c r="E1170" s="26" t="s">
        <v>1206</v>
      </c>
      <c r="F1170" s="19">
        <v>0</v>
      </c>
      <c r="G1170" s="19"/>
      <c r="H1170" s="17">
        <f>ROUND((P_2_95.u Qté)*(P_2_95.u PU),2)</f>
        <v>0</v>
      </c>
    </row>
    <row r="1171" spans="1:8" s="3" customFormat="1" ht="12">
      <c r="A1171" s="41">
        <f t="shared" si="18"/>
        <v>2</v>
      </c>
      <c r="B1171" s="41" t="s">
        <v>1386</v>
      </c>
      <c r="C1171" s="1" t="s">
        <v>1805</v>
      </c>
      <c r="D1171" s="2" t="s">
        <v>461</v>
      </c>
      <c r="E1171" s="26" t="s">
        <v>1206</v>
      </c>
      <c r="F1171" s="19">
        <v>0</v>
      </c>
      <c r="G1171" s="19"/>
      <c r="H1171" s="17">
        <f>ROUND((P_2_95.v Qté)*(P_2_95.v PU),2)</f>
        <v>0</v>
      </c>
    </row>
    <row r="1172" spans="1:8" s="3" customFormat="1" ht="12">
      <c r="A1172" s="41">
        <f t="shared" si="18"/>
        <v>2</v>
      </c>
      <c r="B1172" s="41" t="s">
        <v>1386</v>
      </c>
      <c r="C1172" s="1" t="s">
        <v>1806</v>
      </c>
      <c r="D1172" s="2" t="s">
        <v>462</v>
      </c>
      <c r="E1172" s="26" t="s">
        <v>1206</v>
      </c>
      <c r="F1172" s="19">
        <v>0</v>
      </c>
      <c r="G1172" s="19"/>
      <c r="H1172" s="17">
        <f>ROUND((P_2_95.w Qté)*(P_2_95.w PU),2)</f>
        <v>0</v>
      </c>
    </row>
    <row r="1173" spans="1:8" s="3" customFormat="1" ht="12">
      <c r="A1173" s="41">
        <f t="shared" si="18"/>
        <v>2</v>
      </c>
      <c r="B1173" s="41" t="s">
        <v>1386</v>
      </c>
      <c r="C1173" s="1" t="s">
        <v>1807</v>
      </c>
      <c r="D1173" s="2" t="s">
        <v>463</v>
      </c>
      <c r="E1173" s="26" t="s">
        <v>1206</v>
      </c>
      <c r="F1173" s="19">
        <v>0</v>
      </c>
      <c r="G1173" s="19"/>
      <c r="H1173" s="17">
        <f>ROUND((P_2_95.x Qté)*(P_2_95.x PU),2)</f>
        <v>0</v>
      </c>
    </row>
    <row r="1174" spans="1:8" s="40" customFormat="1" ht="24">
      <c r="A1174" s="39">
        <f t="shared" si="18"/>
        <v>2</v>
      </c>
      <c r="B1174" s="39" t="s">
        <v>1385</v>
      </c>
      <c r="C1174" s="7" t="s">
        <v>1001</v>
      </c>
      <c r="D1174" s="8" t="s">
        <v>1349</v>
      </c>
      <c r="E1174" s="25" t="s">
        <v>1127</v>
      </c>
      <c r="F1174" s="18"/>
      <c r="G1174" s="18"/>
      <c r="H1174" s="17"/>
    </row>
    <row r="1175" spans="1:8" s="40" customFormat="1" ht="48">
      <c r="A1175" s="39">
        <f t="shared" si="18"/>
        <v>2</v>
      </c>
      <c r="B1175" s="39" t="s">
        <v>1385</v>
      </c>
      <c r="C1175" s="7" t="s">
        <v>1127</v>
      </c>
      <c r="D1175" s="8" t="s">
        <v>1400</v>
      </c>
      <c r="E1175" s="25" t="s">
        <v>1127</v>
      </c>
      <c r="F1175" s="18"/>
      <c r="G1175" s="18"/>
      <c r="H1175" s="17"/>
    </row>
    <row r="1176" spans="1:8" s="40" customFormat="1" ht="24">
      <c r="A1176" s="39">
        <f t="shared" si="18"/>
        <v>2</v>
      </c>
      <c r="B1176" s="39" t="s">
        <v>1385</v>
      </c>
      <c r="C1176" s="7" t="s">
        <v>1127</v>
      </c>
      <c r="D1176" s="8" t="s">
        <v>436</v>
      </c>
      <c r="E1176" s="25" t="s">
        <v>1127</v>
      </c>
      <c r="F1176" s="18"/>
      <c r="G1176" s="18"/>
      <c r="H1176" s="17"/>
    </row>
    <row r="1177" spans="1:8" s="40" customFormat="1" ht="12">
      <c r="A1177" s="39">
        <f t="shared" si="18"/>
        <v>2</v>
      </c>
      <c r="B1177" s="39" t="s">
        <v>1385</v>
      </c>
      <c r="C1177" s="7" t="s">
        <v>1127</v>
      </c>
      <c r="D1177" s="8" t="s">
        <v>437</v>
      </c>
      <c r="E1177" s="25" t="s">
        <v>1127</v>
      </c>
      <c r="F1177" s="18"/>
      <c r="G1177" s="18"/>
      <c r="H1177" s="17"/>
    </row>
    <row r="1178" spans="1:8" s="40" customFormat="1" ht="12">
      <c r="A1178" s="39">
        <f t="shared" si="18"/>
        <v>2</v>
      </c>
      <c r="B1178" s="39" t="s">
        <v>1385</v>
      </c>
      <c r="C1178" s="7" t="s">
        <v>1127</v>
      </c>
      <c r="D1178" s="8" t="s">
        <v>428</v>
      </c>
      <c r="E1178" s="25" t="s">
        <v>1127</v>
      </c>
      <c r="F1178" s="18"/>
      <c r="G1178" s="18"/>
      <c r="H1178" s="17"/>
    </row>
    <row r="1179" spans="1:8" s="40" customFormat="1" ht="24">
      <c r="A1179" s="39">
        <f t="shared" si="18"/>
        <v>2</v>
      </c>
      <c r="B1179" s="39" t="s">
        <v>1385</v>
      </c>
      <c r="C1179" s="7" t="s">
        <v>1127</v>
      </c>
      <c r="D1179" s="8" t="s">
        <v>438</v>
      </c>
      <c r="E1179" s="25" t="s">
        <v>1127</v>
      </c>
      <c r="F1179" s="18"/>
      <c r="G1179" s="18"/>
      <c r="H1179" s="17"/>
    </row>
    <row r="1180" spans="1:8" s="40" customFormat="1" ht="36">
      <c r="A1180" s="39">
        <f t="shared" si="18"/>
        <v>2</v>
      </c>
      <c r="B1180" s="39" t="s">
        <v>1385</v>
      </c>
      <c r="C1180" s="7" t="s">
        <v>1127</v>
      </c>
      <c r="D1180" s="8" t="s">
        <v>439</v>
      </c>
      <c r="E1180" s="25" t="s">
        <v>1127</v>
      </c>
      <c r="F1180" s="18"/>
      <c r="G1180" s="18"/>
      <c r="H1180" s="17"/>
    </row>
    <row r="1181" spans="1:8" s="40" customFormat="1" ht="12">
      <c r="A1181" s="39">
        <f t="shared" si="18"/>
        <v>2</v>
      </c>
      <c r="B1181" s="39" t="s">
        <v>1385</v>
      </c>
      <c r="C1181" s="7" t="s">
        <v>1127</v>
      </c>
      <c r="D1181" s="8" t="s">
        <v>637</v>
      </c>
      <c r="E1181" s="25" t="s">
        <v>1127</v>
      </c>
      <c r="F1181" s="18"/>
      <c r="G1181" s="18"/>
      <c r="H1181" s="17"/>
    </row>
    <row r="1182" spans="1:8" s="40" customFormat="1" ht="12">
      <c r="A1182" s="39">
        <f t="shared" si="18"/>
        <v>2</v>
      </c>
      <c r="B1182" s="39" t="s">
        <v>1385</v>
      </c>
      <c r="C1182" s="7" t="s">
        <v>1127</v>
      </c>
      <c r="D1182" s="8" t="s">
        <v>1401</v>
      </c>
      <c r="E1182" s="25" t="s">
        <v>1127</v>
      </c>
      <c r="F1182" s="18"/>
      <c r="G1182" s="18"/>
      <c r="H1182" s="17"/>
    </row>
    <row r="1183" spans="1:8" s="3" customFormat="1" ht="12">
      <c r="A1183" s="41">
        <f t="shared" si="18"/>
        <v>2</v>
      </c>
      <c r="B1183" s="41" t="s">
        <v>1386</v>
      </c>
      <c r="C1183" s="1" t="s">
        <v>1808</v>
      </c>
      <c r="D1183" s="2" t="s">
        <v>464</v>
      </c>
      <c r="E1183" s="26" t="s">
        <v>1206</v>
      </c>
      <c r="F1183" s="19">
        <v>0</v>
      </c>
      <c r="G1183" s="19"/>
      <c r="H1183" s="17">
        <f>ROUND((P_2_96.a Qté)*(P_2_96.a PU),2)</f>
        <v>0</v>
      </c>
    </row>
    <row r="1184" spans="1:8" s="3" customFormat="1" ht="12">
      <c r="A1184" s="41">
        <f t="shared" si="18"/>
        <v>2</v>
      </c>
      <c r="B1184" s="41" t="s">
        <v>1386</v>
      </c>
      <c r="C1184" s="1" t="s">
        <v>1811</v>
      </c>
      <c r="D1184" s="2" t="s">
        <v>465</v>
      </c>
      <c r="E1184" s="26" t="s">
        <v>1206</v>
      </c>
      <c r="F1184" s="19">
        <v>0</v>
      </c>
      <c r="G1184" s="19"/>
      <c r="H1184" s="17">
        <f>ROUND((P_2_96.b Qté)*(P_2_96.b PU),2)</f>
        <v>0</v>
      </c>
    </row>
    <row r="1185" spans="1:8" s="3" customFormat="1" ht="24">
      <c r="A1185" s="41">
        <f t="shared" si="18"/>
        <v>2</v>
      </c>
      <c r="B1185" s="41" t="s">
        <v>1386</v>
      </c>
      <c r="C1185" s="1" t="s">
        <v>1812</v>
      </c>
      <c r="D1185" s="2" t="s">
        <v>466</v>
      </c>
      <c r="E1185" s="26" t="s">
        <v>1227</v>
      </c>
      <c r="F1185" s="19">
        <v>0</v>
      </c>
      <c r="G1185" s="19"/>
      <c r="H1185" s="17">
        <f>ROUND((P_2_96.c Qté)*(P_2_96.c PU),2)</f>
        <v>0</v>
      </c>
    </row>
    <row r="1186" spans="1:8" s="3" customFormat="1" ht="24">
      <c r="A1186" s="41">
        <f t="shared" si="18"/>
        <v>2</v>
      </c>
      <c r="B1186" s="41" t="s">
        <v>1386</v>
      </c>
      <c r="C1186" s="1" t="s">
        <v>1813</v>
      </c>
      <c r="D1186" s="2" t="s">
        <v>467</v>
      </c>
      <c r="E1186" s="26" t="s">
        <v>1227</v>
      </c>
      <c r="F1186" s="19">
        <v>0</v>
      </c>
      <c r="G1186" s="19"/>
      <c r="H1186" s="17">
        <f>ROUND((P_2_96.d Qté)*(P_2_96.d PU),2)</f>
        <v>0</v>
      </c>
    </row>
    <row r="1187" spans="1:8" s="40" customFormat="1" ht="12">
      <c r="A1187" s="39">
        <f t="shared" si="18"/>
        <v>2</v>
      </c>
      <c r="B1187" s="39" t="s">
        <v>1385</v>
      </c>
      <c r="C1187" s="7" t="s">
        <v>1127</v>
      </c>
      <c r="D1187" s="8" t="s">
        <v>1402</v>
      </c>
      <c r="E1187" s="25" t="s">
        <v>1127</v>
      </c>
      <c r="F1187" s="18"/>
      <c r="G1187" s="18"/>
      <c r="H1187" s="17"/>
    </row>
    <row r="1188" spans="1:8" s="3" customFormat="1" ht="12">
      <c r="A1188" s="41">
        <f t="shared" si="18"/>
        <v>2</v>
      </c>
      <c r="B1188" s="41" t="s">
        <v>1386</v>
      </c>
      <c r="C1188" s="1" t="s">
        <v>1809</v>
      </c>
      <c r="D1188" s="2" t="s">
        <v>468</v>
      </c>
      <c r="E1188" s="26" t="s">
        <v>1206</v>
      </c>
      <c r="F1188" s="19">
        <v>0</v>
      </c>
      <c r="G1188" s="19"/>
      <c r="H1188" s="17">
        <f>ROUND((P_2_96.e Qté)*(P_2_96.e PU),2)</f>
        <v>0</v>
      </c>
    </row>
    <row r="1189" spans="1:8" s="3" customFormat="1" ht="12">
      <c r="A1189" s="41">
        <f t="shared" si="18"/>
        <v>2</v>
      </c>
      <c r="B1189" s="41" t="s">
        <v>1386</v>
      </c>
      <c r="C1189" s="1" t="s">
        <v>1814</v>
      </c>
      <c r="D1189" s="2" t="s">
        <v>469</v>
      </c>
      <c r="E1189" s="26" t="s">
        <v>1206</v>
      </c>
      <c r="F1189" s="19">
        <v>0</v>
      </c>
      <c r="G1189" s="19"/>
      <c r="H1189" s="17">
        <f>ROUND((P_2_96.f Qté)*(P_2_96.f PU),2)</f>
        <v>0</v>
      </c>
    </row>
    <row r="1190" spans="1:8" s="3" customFormat="1" ht="24">
      <c r="A1190" s="41">
        <f t="shared" si="18"/>
        <v>2</v>
      </c>
      <c r="B1190" s="41" t="s">
        <v>1386</v>
      </c>
      <c r="C1190" s="1" t="s">
        <v>1815</v>
      </c>
      <c r="D1190" s="2" t="s">
        <v>470</v>
      </c>
      <c r="E1190" s="26" t="s">
        <v>1227</v>
      </c>
      <c r="F1190" s="19">
        <v>0</v>
      </c>
      <c r="G1190" s="19"/>
      <c r="H1190" s="17">
        <f>ROUND((P_2_96.g Qté)*(P_2_96.g PU),2)</f>
        <v>0</v>
      </c>
    </row>
    <row r="1191" spans="1:8" s="3" customFormat="1" ht="24">
      <c r="A1191" s="41">
        <f t="shared" si="18"/>
        <v>2</v>
      </c>
      <c r="B1191" s="41" t="s">
        <v>1386</v>
      </c>
      <c r="C1191" s="1" t="s">
        <v>1816</v>
      </c>
      <c r="D1191" s="2" t="s">
        <v>471</v>
      </c>
      <c r="E1191" s="26" t="s">
        <v>1227</v>
      </c>
      <c r="F1191" s="19">
        <v>0</v>
      </c>
      <c r="G1191" s="19"/>
      <c r="H1191" s="17">
        <f>ROUND((P_2_96.h Qté)*(P_2_96.h PU),2)</f>
        <v>0</v>
      </c>
    </row>
    <row r="1192" spans="1:8" s="40" customFormat="1" ht="12">
      <c r="A1192" s="39">
        <f t="shared" si="18"/>
        <v>2</v>
      </c>
      <c r="B1192" s="39" t="s">
        <v>1385</v>
      </c>
      <c r="C1192" s="7" t="s">
        <v>1127</v>
      </c>
      <c r="D1192" s="8" t="s">
        <v>1403</v>
      </c>
      <c r="E1192" s="25" t="s">
        <v>1127</v>
      </c>
      <c r="F1192" s="18"/>
      <c r="G1192" s="18"/>
      <c r="H1192" s="17"/>
    </row>
    <row r="1193" spans="1:8" s="3" customFormat="1" ht="12">
      <c r="A1193" s="41">
        <f t="shared" si="18"/>
        <v>2</v>
      </c>
      <c r="B1193" s="41" t="s">
        <v>1386</v>
      </c>
      <c r="C1193" s="1" t="s">
        <v>1810</v>
      </c>
      <c r="D1193" s="2" t="s">
        <v>472</v>
      </c>
      <c r="E1193" s="26" t="s">
        <v>1206</v>
      </c>
      <c r="F1193" s="19">
        <v>0</v>
      </c>
      <c r="G1193" s="19"/>
      <c r="H1193" s="17">
        <f>ROUND((P_2_96.i Qté)*(P_2_96.i PU),2)</f>
        <v>0</v>
      </c>
    </row>
    <row r="1194" spans="1:8" s="3" customFormat="1" ht="12">
      <c r="A1194" s="41">
        <f t="shared" si="18"/>
        <v>2</v>
      </c>
      <c r="B1194" s="41" t="s">
        <v>1386</v>
      </c>
      <c r="C1194" s="1" t="s">
        <v>1817</v>
      </c>
      <c r="D1194" s="2" t="s">
        <v>473</v>
      </c>
      <c r="E1194" s="26" t="s">
        <v>1206</v>
      </c>
      <c r="F1194" s="19">
        <v>0</v>
      </c>
      <c r="G1194" s="19"/>
      <c r="H1194" s="17">
        <f>ROUND((P_2_96.j Qté)*(P_2_96.j PU),2)</f>
        <v>0</v>
      </c>
    </row>
    <row r="1195" spans="1:8" s="3" customFormat="1" ht="24">
      <c r="A1195" s="41">
        <f t="shared" si="18"/>
        <v>2</v>
      </c>
      <c r="B1195" s="41" t="s">
        <v>1386</v>
      </c>
      <c r="C1195" s="1" t="s">
        <v>1818</v>
      </c>
      <c r="D1195" s="2" t="s">
        <v>474</v>
      </c>
      <c r="E1195" s="26" t="s">
        <v>1227</v>
      </c>
      <c r="F1195" s="19">
        <v>0</v>
      </c>
      <c r="G1195" s="19"/>
      <c r="H1195" s="17">
        <f>ROUND((P_2_96.k Qté)*(P_2_96.k PU),2)</f>
        <v>0</v>
      </c>
    </row>
    <row r="1196" spans="1:8" s="3" customFormat="1" ht="24">
      <c r="A1196" s="41">
        <f t="shared" si="18"/>
        <v>2</v>
      </c>
      <c r="B1196" s="41" t="s">
        <v>1386</v>
      </c>
      <c r="C1196" s="1" t="s">
        <v>1819</v>
      </c>
      <c r="D1196" s="2" t="s">
        <v>475</v>
      </c>
      <c r="E1196" s="26" t="s">
        <v>1227</v>
      </c>
      <c r="F1196" s="19">
        <v>0</v>
      </c>
      <c r="G1196" s="19"/>
      <c r="H1196" s="17">
        <f>ROUND((P_2_96.l Qté)*(P_2_96.l PU),2)</f>
        <v>0</v>
      </c>
    </row>
    <row r="1197" spans="1:8" s="40" customFormat="1" ht="24">
      <c r="A1197" s="39">
        <f t="shared" si="18"/>
        <v>2</v>
      </c>
      <c r="B1197" s="39" t="s">
        <v>1385</v>
      </c>
      <c r="C1197" s="7" t="s">
        <v>1002</v>
      </c>
      <c r="D1197" s="8" t="s">
        <v>1322</v>
      </c>
      <c r="E1197" s="25" t="s">
        <v>1127</v>
      </c>
      <c r="F1197" s="18"/>
      <c r="G1197" s="18"/>
      <c r="H1197" s="17"/>
    </row>
    <row r="1198" spans="1:8" s="40" customFormat="1" ht="48">
      <c r="A1198" s="39">
        <f t="shared" si="18"/>
        <v>2</v>
      </c>
      <c r="B1198" s="39" t="s">
        <v>1385</v>
      </c>
      <c r="C1198" s="7" t="s">
        <v>1127</v>
      </c>
      <c r="D1198" s="8" t="s">
        <v>703</v>
      </c>
      <c r="E1198" s="25" t="s">
        <v>1127</v>
      </c>
      <c r="F1198" s="18"/>
      <c r="G1198" s="18"/>
      <c r="H1198" s="17"/>
    </row>
    <row r="1199" spans="1:8" s="40" customFormat="1" ht="24">
      <c r="A1199" s="39">
        <f t="shared" si="18"/>
        <v>2</v>
      </c>
      <c r="B1199" s="39" t="s">
        <v>1385</v>
      </c>
      <c r="C1199" s="7" t="s">
        <v>1127</v>
      </c>
      <c r="D1199" s="8" t="s">
        <v>436</v>
      </c>
      <c r="E1199" s="25" t="s">
        <v>1127</v>
      </c>
      <c r="F1199" s="18"/>
      <c r="G1199" s="18"/>
      <c r="H1199" s="17"/>
    </row>
    <row r="1200" spans="1:8" s="40" customFormat="1" ht="12">
      <c r="A1200" s="39">
        <f aca="true" t="shared" si="19" ref="A1200:A1263">A1199</f>
        <v>2</v>
      </c>
      <c r="B1200" s="39" t="s">
        <v>1385</v>
      </c>
      <c r="C1200" s="7" t="s">
        <v>1127</v>
      </c>
      <c r="D1200" s="8" t="s">
        <v>437</v>
      </c>
      <c r="E1200" s="25" t="s">
        <v>1127</v>
      </c>
      <c r="F1200" s="18"/>
      <c r="G1200" s="18"/>
      <c r="H1200" s="17"/>
    </row>
    <row r="1201" spans="1:8" s="40" customFormat="1" ht="12">
      <c r="A1201" s="39">
        <f t="shared" si="19"/>
        <v>2</v>
      </c>
      <c r="B1201" s="39" t="s">
        <v>1385</v>
      </c>
      <c r="C1201" s="7" t="s">
        <v>1127</v>
      </c>
      <c r="D1201" s="8" t="s">
        <v>428</v>
      </c>
      <c r="E1201" s="25" t="s">
        <v>1127</v>
      </c>
      <c r="F1201" s="18"/>
      <c r="G1201" s="18"/>
      <c r="H1201" s="17"/>
    </row>
    <row r="1202" spans="1:8" s="40" customFormat="1" ht="24">
      <c r="A1202" s="39">
        <f t="shared" si="19"/>
        <v>2</v>
      </c>
      <c r="B1202" s="39" t="s">
        <v>1385</v>
      </c>
      <c r="C1202" s="7" t="s">
        <v>1127</v>
      </c>
      <c r="D1202" s="8" t="s">
        <v>438</v>
      </c>
      <c r="E1202" s="25" t="s">
        <v>1127</v>
      </c>
      <c r="F1202" s="18"/>
      <c r="G1202" s="18"/>
      <c r="H1202" s="17"/>
    </row>
    <row r="1203" spans="1:8" s="40" customFormat="1" ht="36">
      <c r="A1203" s="39">
        <f t="shared" si="19"/>
        <v>2</v>
      </c>
      <c r="B1203" s="39" t="s">
        <v>1385</v>
      </c>
      <c r="C1203" s="7" t="s">
        <v>1127</v>
      </c>
      <c r="D1203" s="8" t="s">
        <v>439</v>
      </c>
      <c r="E1203" s="25" t="s">
        <v>1127</v>
      </c>
      <c r="F1203" s="18"/>
      <c r="G1203" s="18"/>
      <c r="H1203" s="17"/>
    </row>
    <row r="1204" spans="1:8" s="40" customFormat="1" ht="12">
      <c r="A1204" s="39">
        <f t="shared" si="19"/>
        <v>2</v>
      </c>
      <c r="B1204" s="39" t="s">
        <v>1385</v>
      </c>
      <c r="C1204" s="7" t="s">
        <v>1127</v>
      </c>
      <c r="D1204" s="8" t="s">
        <v>637</v>
      </c>
      <c r="E1204" s="25" t="s">
        <v>1127</v>
      </c>
      <c r="F1204" s="18"/>
      <c r="G1204" s="18"/>
      <c r="H1204" s="17"/>
    </row>
    <row r="1205" spans="1:8" s="40" customFormat="1" ht="12">
      <c r="A1205" s="39">
        <f t="shared" si="19"/>
        <v>2</v>
      </c>
      <c r="B1205" s="39" t="s">
        <v>1385</v>
      </c>
      <c r="C1205" s="7" t="s">
        <v>1127</v>
      </c>
      <c r="D1205" s="8" t="s">
        <v>704</v>
      </c>
      <c r="E1205" s="25" t="s">
        <v>1127</v>
      </c>
      <c r="F1205" s="18"/>
      <c r="G1205" s="18"/>
      <c r="H1205" s="17"/>
    </row>
    <row r="1206" spans="1:8" s="3" customFormat="1" ht="12">
      <c r="A1206" s="41">
        <f t="shared" si="19"/>
        <v>2</v>
      </c>
      <c r="B1206" s="41" t="s">
        <v>1386</v>
      </c>
      <c r="C1206" s="1" t="s">
        <v>1820</v>
      </c>
      <c r="D1206" s="2" t="s">
        <v>476</v>
      </c>
      <c r="E1206" s="26" t="s">
        <v>1227</v>
      </c>
      <c r="F1206" s="19">
        <v>0</v>
      </c>
      <c r="G1206" s="19"/>
      <c r="H1206" s="17">
        <f>ROUND((P_2_97.a Qté)*(P_2_97.a PU),2)</f>
        <v>0</v>
      </c>
    </row>
    <row r="1207" spans="1:8" s="3" customFormat="1" ht="12">
      <c r="A1207" s="41">
        <f t="shared" si="19"/>
        <v>2</v>
      </c>
      <c r="B1207" s="41" t="s">
        <v>1386</v>
      </c>
      <c r="C1207" s="1" t="s">
        <v>1821</v>
      </c>
      <c r="D1207" s="2" t="s">
        <v>477</v>
      </c>
      <c r="E1207" s="26" t="s">
        <v>1227</v>
      </c>
      <c r="F1207" s="19">
        <v>0</v>
      </c>
      <c r="G1207" s="19"/>
      <c r="H1207" s="17">
        <f>ROUND((P_2_97.b Qté)*(P_2_97.b PU),2)</f>
        <v>0</v>
      </c>
    </row>
    <row r="1208" spans="1:8" s="3" customFormat="1" ht="12">
      <c r="A1208" s="41">
        <f t="shared" si="19"/>
        <v>2</v>
      </c>
      <c r="B1208" s="41" t="s">
        <v>1386</v>
      </c>
      <c r="C1208" s="1" t="s">
        <v>1822</v>
      </c>
      <c r="D1208" s="2" t="s">
        <v>478</v>
      </c>
      <c r="E1208" s="26" t="s">
        <v>1227</v>
      </c>
      <c r="F1208" s="19">
        <v>0</v>
      </c>
      <c r="G1208" s="19"/>
      <c r="H1208" s="17">
        <f>ROUND((P_2_97.c Qté)*(P_2_97.c PU),2)</f>
        <v>0</v>
      </c>
    </row>
    <row r="1209" spans="1:8" s="40" customFormat="1" ht="12">
      <c r="A1209" s="39">
        <f t="shared" si="19"/>
        <v>2</v>
      </c>
      <c r="B1209" s="39" t="s">
        <v>1385</v>
      </c>
      <c r="C1209" s="7" t="s">
        <v>1127</v>
      </c>
      <c r="D1209" s="8" t="s">
        <v>705</v>
      </c>
      <c r="E1209" s="25" t="s">
        <v>1127</v>
      </c>
      <c r="F1209" s="18"/>
      <c r="G1209" s="18"/>
      <c r="H1209" s="17"/>
    </row>
    <row r="1210" spans="1:8" s="3" customFormat="1" ht="12">
      <c r="A1210" s="41">
        <f t="shared" si="19"/>
        <v>2</v>
      </c>
      <c r="B1210" s="41" t="s">
        <v>1386</v>
      </c>
      <c r="C1210" s="1" t="s">
        <v>1823</v>
      </c>
      <c r="D1210" s="2" t="s">
        <v>479</v>
      </c>
      <c r="E1210" s="26" t="s">
        <v>1227</v>
      </c>
      <c r="F1210" s="19">
        <v>0</v>
      </c>
      <c r="G1210" s="19"/>
      <c r="H1210" s="17">
        <f>ROUND((P_2_97.d Qté)*(P_2_97.d PU),2)</f>
        <v>0</v>
      </c>
    </row>
    <row r="1211" spans="1:8" s="3" customFormat="1" ht="12">
      <c r="A1211" s="41">
        <f t="shared" si="19"/>
        <v>2</v>
      </c>
      <c r="B1211" s="41" t="s">
        <v>1386</v>
      </c>
      <c r="C1211" s="1" t="s">
        <v>1824</v>
      </c>
      <c r="D1211" s="2" t="s">
        <v>480</v>
      </c>
      <c r="E1211" s="26" t="s">
        <v>1227</v>
      </c>
      <c r="F1211" s="19">
        <v>0</v>
      </c>
      <c r="G1211" s="19"/>
      <c r="H1211" s="17">
        <f>ROUND((P_2_97.e Qté)*(P_2_97.e PU),2)</f>
        <v>0</v>
      </c>
    </row>
    <row r="1212" spans="1:8" s="3" customFormat="1" ht="12">
      <c r="A1212" s="41">
        <f t="shared" si="19"/>
        <v>2</v>
      </c>
      <c r="B1212" s="41" t="s">
        <v>1386</v>
      </c>
      <c r="C1212" s="1" t="s">
        <v>1825</v>
      </c>
      <c r="D1212" s="2" t="s">
        <v>481</v>
      </c>
      <c r="E1212" s="26" t="s">
        <v>1227</v>
      </c>
      <c r="F1212" s="19">
        <v>0</v>
      </c>
      <c r="G1212" s="19"/>
      <c r="H1212" s="17">
        <f>ROUND((P_2_97.f Qté)*(P_2_97.f PU),2)</f>
        <v>0</v>
      </c>
    </row>
    <row r="1213" spans="1:8" s="40" customFormat="1" ht="12">
      <c r="A1213" s="39">
        <f t="shared" si="19"/>
        <v>2</v>
      </c>
      <c r="B1213" s="39" t="s">
        <v>1385</v>
      </c>
      <c r="C1213" s="7" t="s">
        <v>1127</v>
      </c>
      <c r="D1213" s="8" t="s">
        <v>706</v>
      </c>
      <c r="E1213" s="25" t="s">
        <v>1127</v>
      </c>
      <c r="F1213" s="18"/>
      <c r="G1213" s="18"/>
      <c r="H1213" s="17"/>
    </row>
    <row r="1214" spans="1:8" s="3" customFormat="1" ht="12">
      <c r="A1214" s="41">
        <f t="shared" si="19"/>
        <v>2</v>
      </c>
      <c r="B1214" s="41" t="s">
        <v>1386</v>
      </c>
      <c r="C1214" s="1" t="s">
        <v>1826</v>
      </c>
      <c r="D1214" s="2" t="s">
        <v>482</v>
      </c>
      <c r="E1214" s="26" t="s">
        <v>1227</v>
      </c>
      <c r="F1214" s="19">
        <v>0</v>
      </c>
      <c r="G1214" s="19"/>
      <c r="H1214" s="17">
        <f>ROUND((P_2_97.g Qté)*(P_2_97.g PU),2)</f>
        <v>0</v>
      </c>
    </row>
    <row r="1215" spans="1:8" s="3" customFormat="1" ht="12">
      <c r="A1215" s="41">
        <f t="shared" si="19"/>
        <v>2</v>
      </c>
      <c r="B1215" s="41" t="s">
        <v>1386</v>
      </c>
      <c r="C1215" s="1" t="s">
        <v>1827</v>
      </c>
      <c r="D1215" s="2" t="s">
        <v>483</v>
      </c>
      <c r="E1215" s="26" t="s">
        <v>1227</v>
      </c>
      <c r="F1215" s="19">
        <v>0</v>
      </c>
      <c r="G1215" s="19"/>
      <c r="H1215" s="17">
        <f>ROUND((P_2_97.h Qté)*(P_2_97.h PU),2)</f>
        <v>0</v>
      </c>
    </row>
    <row r="1216" spans="1:8" s="3" customFormat="1" ht="12">
      <c r="A1216" s="41">
        <f t="shared" si="19"/>
        <v>2</v>
      </c>
      <c r="B1216" s="41" t="s">
        <v>1386</v>
      </c>
      <c r="C1216" s="1" t="s">
        <v>1828</v>
      </c>
      <c r="D1216" s="2" t="s">
        <v>484</v>
      </c>
      <c r="E1216" s="26" t="s">
        <v>1227</v>
      </c>
      <c r="F1216" s="19">
        <v>0</v>
      </c>
      <c r="G1216" s="19"/>
      <c r="H1216" s="17">
        <f>ROUND((P_2_97.i Qté)*(P_2_97.i PU),2)</f>
        <v>0</v>
      </c>
    </row>
    <row r="1217" spans="1:8" s="40" customFormat="1" ht="24">
      <c r="A1217" s="39">
        <f t="shared" si="19"/>
        <v>2</v>
      </c>
      <c r="B1217" s="39" t="s">
        <v>1385</v>
      </c>
      <c r="C1217" s="7" t="s">
        <v>1003</v>
      </c>
      <c r="D1217" s="8" t="s">
        <v>1323</v>
      </c>
      <c r="E1217" s="25" t="s">
        <v>1127</v>
      </c>
      <c r="F1217" s="18"/>
      <c r="G1217" s="18"/>
      <c r="H1217" s="17"/>
    </row>
    <row r="1218" spans="1:8" s="40" customFormat="1" ht="36">
      <c r="A1218" s="39">
        <f t="shared" si="19"/>
        <v>2</v>
      </c>
      <c r="B1218" s="39" t="s">
        <v>1385</v>
      </c>
      <c r="C1218" s="7" t="s">
        <v>1127</v>
      </c>
      <c r="D1218" s="8" t="s">
        <v>707</v>
      </c>
      <c r="E1218" s="25" t="s">
        <v>1127</v>
      </c>
      <c r="F1218" s="18"/>
      <c r="G1218" s="18"/>
      <c r="H1218" s="17"/>
    </row>
    <row r="1219" spans="1:8" s="40" customFormat="1" ht="24">
      <c r="A1219" s="39">
        <f t="shared" si="19"/>
        <v>2</v>
      </c>
      <c r="B1219" s="39" t="s">
        <v>1385</v>
      </c>
      <c r="C1219" s="7" t="s">
        <v>1127</v>
      </c>
      <c r="D1219" s="8" t="s">
        <v>436</v>
      </c>
      <c r="E1219" s="25" t="s">
        <v>1127</v>
      </c>
      <c r="F1219" s="18"/>
      <c r="G1219" s="18"/>
      <c r="H1219" s="17"/>
    </row>
    <row r="1220" spans="1:8" s="40" customFormat="1" ht="12">
      <c r="A1220" s="39">
        <f t="shared" si="19"/>
        <v>2</v>
      </c>
      <c r="B1220" s="39" t="s">
        <v>1385</v>
      </c>
      <c r="C1220" s="7" t="s">
        <v>1127</v>
      </c>
      <c r="D1220" s="8" t="s">
        <v>437</v>
      </c>
      <c r="E1220" s="25" t="s">
        <v>1127</v>
      </c>
      <c r="F1220" s="18"/>
      <c r="G1220" s="18"/>
      <c r="H1220" s="17"/>
    </row>
    <row r="1221" spans="1:8" s="40" customFormat="1" ht="12">
      <c r="A1221" s="39">
        <f t="shared" si="19"/>
        <v>2</v>
      </c>
      <c r="B1221" s="39" t="s">
        <v>1385</v>
      </c>
      <c r="C1221" s="7" t="s">
        <v>1127</v>
      </c>
      <c r="D1221" s="8" t="s">
        <v>428</v>
      </c>
      <c r="E1221" s="25" t="s">
        <v>1127</v>
      </c>
      <c r="F1221" s="18"/>
      <c r="G1221" s="18"/>
      <c r="H1221" s="17"/>
    </row>
    <row r="1222" spans="1:8" s="40" customFormat="1" ht="24">
      <c r="A1222" s="39">
        <f t="shared" si="19"/>
        <v>2</v>
      </c>
      <c r="B1222" s="39" t="s">
        <v>1385</v>
      </c>
      <c r="C1222" s="7" t="s">
        <v>1127</v>
      </c>
      <c r="D1222" s="8" t="s">
        <v>438</v>
      </c>
      <c r="E1222" s="25" t="s">
        <v>1127</v>
      </c>
      <c r="F1222" s="18"/>
      <c r="G1222" s="18"/>
      <c r="H1222" s="17"/>
    </row>
    <row r="1223" spans="1:8" s="40" customFormat="1" ht="36">
      <c r="A1223" s="39">
        <f t="shared" si="19"/>
        <v>2</v>
      </c>
      <c r="B1223" s="39" t="s">
        <v>1385</v>
      </c>
      <c r="C1223" s="7" t="s">
        <v>1127</v>
      </c>
      <c r="D1223" s="8" t="s">
        <v>439</v>
      </c>
      <c r="E1223" s="25" t="s">
        <v>1127</v>
      </c>
      <c r="F1223" s="18"/>
      <c r="G1223" s="18"/>
      <c r="H1223" s="17"/>
    </row>
    <row r="1224" spans="1:8" s="40" customFormat="1" ht="12">
      <c r="A1224" s="39">
        <f t="shared" si="19"/>
        <v>2</v>
      </c>
      <c r="B1224" s="39" t="s">
        <v>1385</v>
      </c>
      <c r="C1224" s="7" t="s">
        <v>1127</v>
      </c>
      <c r="D1224" s="8" t="s">
        <v>637</v>
      </c>
      <c r="E1224" s="25" t="s">
        <v>1127</v>
      </c>
      <c r="F1224" s="18"/>
      <c r="G1224" s="18"/>
      <c r="H1224" s="17"/>
    </row>
    <row r="1225" spans="1:8" s="40" customFormat="1" ht="12">
      <c r="A1225" s="39">
        <f t="shared" si="19"/>
        <v>2</v>
      </c>
      <c r="B1225" s="39" t="s">
        <v>1385</v>
      </c>
      <c r="C1225" s="7" t="s">
        <v>1127</v>
      </c>
      <c r="D1225" s="8" t="s">
        <v>704</v>
      </c>
      <c r="E1225" s="25" t="s">
        <v>1127</v>
      </c>
      <c r="F1225" s="18"/>
      <c r="G1225" s="18"/>
      <c r="H1225" s="17"/>
    </row>
    <row r="1226" spans="1:8" s="3" customFormat="1" ht="12">
      <c r="A1226" s="41">
        <f t="shared" si="19"/>
        <v>2</v>
      </c>
      <c r="B1226" s="41" t="s">
        <v>1386</v>
      </c>
      <c r="C1226" s="1" t="s">
        <v>1829</v>
      </c>
      <c r="D1226" s="2" t="s">
        <v>485</v>
      </c>
      <c r="E1226" s="26" t="s">
        <v>1174</v>
      </c>
      <c r="F1226" s="19">
        <v>0</v>
      </c>
      <c r="G1226" s="19"/>
      <c r="H1226" s="17">
        <f>ROUND((P_2_98.a Qté)*(P_2_98.a PU),2)</f>
        <v>0</v>
      </c>
    </row>
    <row r="1227" spans="1:8" s="3" customFormat="1" ht="12">
      <c r="A1227" s="41">
        <f t="shared" si="19"/>
        <v>2</v>
      </c>
      <c r="B1227" s="41" t="s">
        <v>1386</v>
      </c>
      <c r="C1227" s="1" t="s">
        <v>1830</v>
      </c>
      <c r="D1227" s="2" t="s">
        <v>486</v>
      </c>
      <c r="E1227" s="26" t="s">
        <v>1174</v>
      </c>
      <c r="F1227" s="19">
        <v>0</v>
      </c>
      <c r="G1227" s="19"/>
      <c r="H1227" s="17">
        <f>ROUND((P_2_98.b Qté)*(P_2_98.b PU),2)</f>
        <v>0</v>
      </c>
    </row>
    <row r="1228" spans="1:8" s="3" customFormat="1" ht="12">
      <c r="A1228" s="41">
        <f t="shared" si="19"/>
        <v>2</v>
      </c>
      <c r="B1228" s="41" t="s">
        <v>1386</v>
      </c>
      <c r="C1228" s="1" t="s">
        <v>1831</v>
      </c>
      <c r="D1228" s="2" t="s">
        <v>487</v>
      </c>
      <c r="E1228" s="26" t="s">
        <v>1174</v>
      </c>
      <c r="F1228" s="19">
        <v>0</v>
      </c>
      <c r="G1228" s="19"/>
      <c r="H1228" s="17">
        <f>ROUND((P_2_98.c Qté)*(P_2_98.c PU),2)</f>
        <v>0</v>
      </c>
    </row>
    <row r="1229" spans="1:8" s="3" customFormat="1" ht="12">
      <c r="A1229" s="41">
        <f t="shared" si="19"/>
        <v>2</v>
      </c>
      <c r="B1229" s="41" t="s">
        <v>1386</v>
      </c>
      <c r="C1229" s="1" t="s">
        <v>1832</v>
      </c>
      <c r="D1229" s="2" t="s">
        <v>488</v>
      </c>
      <c r="E1229" s="26" t="s">
        <v>1174</v>
      </c>
      <c r="F1229" s="19">
        <v>0</v>
      </c>
      <c r="G1229" s="19"/>
      <c r="H1229" s="17">
        <f>ROUND((P_2_98.d Qté)*(P_2_98.d PU),2)</f>
        <v>0</v>
      </c>
    </row>
    <row r="1230" spans="1:8" s="40" customFormat="1" ht="12">
      <c r="A1230" s="39">
        <f t="shared" si="19"/>
        <v>2</v>
      </c>
      <c r="B1230" s="39" t="s">
        <v>1385</v>
      </c>
      <c r="C1230" s="7" t="s">
        <v>1127</v>
      </c>
      <c r="D1230" s="8" t="s">
        <v>705</v>
      </c>
      <c r="E1230" s="25" t="s">
        <v>1127</v>
      </c>
      <c r="F1230" s="18"/>
      <c r="G1230" s="18"/>
      <c r="H1230" s="17"/>
    </row>
    <row r="1231" spans="1:8" s="3" customFormat="1" ht="12">
      <c r="A1231" s="41">
        <f t="shared" si="19"/>
        <v>2</v>
      </c>
      <c r="B1231" s="41" t="s">
        <v>1386</v>
      </c>
      <c r="C1231" s="1" t="s">
        <v>1833</v>
      </c>
      <c r="D1231" s="2" t="s">
        <v>489</v>
      </c>
      <c r="E1231" s="26" t="s">
        <v>1174</v>
      </c>
      <c r="F1231" s="19">
        <v>0</v>
      </c>
      <c r="G1231" s="19"/>
      <c r="H1231" s="17">
        <f>ROUND((P_2_98.e Qté)*(P_2_98.e PU),2)</f>
        <v>0</v>
      </c>
    </row>
    <row r="1232" spans="1:8" s="3" customFormat="1" ht="12">
      <c r="A1232" s="41">
        <f t="shared" si="19"/>
        <v>2</v>
      </c>
      <c r="B1232" s="41" t="s">
        <v>1386</v>
      </c>
      <c r="C1232" s="1" t="s">
        <v>1834</v>
      </c>
      <c r="D1232" s="2" t="s">
        <v>490</v>
      </c>
      <c r="E1232" s="26" t="s">
        <v>1174</v>
      </c>
      <c r="F1232" s="19">
        <v>0</v>
      </c>
      <c r="G1232" s="19"/>
      <c r="H1232" s="17">
        <f>ROUND((P_2_98.f Qté)*(P_2_98.f PU),2)</f>
        <v>0</v>
      </c>
    </row>
    <row r="1233" spans="1:8" s="3" customFormat="1" ht="12">
      <c r="A1233" s="41">
        <f t="shared" si="19"/>
        <v>2</v>
      </c>
      <c r="B1233" s="41" t="s">
        <v>1386</v>
      </c>
      <c r="C1233" s="1" t="s">
        <v>1835</v>
      </c>
      <c r="D1233" s="2" t="s">
        <v>491</v>
      </c>
      <c r="E1233" s="26" t="s">
        <v>1174</v>
      </c>
      <c r="F1233" s="19">
        <v>0</v>
      </c>
      <c r="G1233" s="19"/>
      <c r="H1233" s="17">
        <f>ROUND((P_2_98.g Qté)*(P_2_98.g PU),2)</f>
        <v>0</v>
      </c>
    </row>
    <row r="1234" spans="1:8" s="3" customFormat="1" ht="12">
      <c r="A1234" s="41">
        <f t="shared" si="19"/>
        <v>2</v>
      </c>
      <c r="B1234" s="41" t="s">
        <v>1386</v>
      </c>
      <c r="C1234" s="1" t="s">
        <v>1836</v>
      </c>
      <c r="D1234" s="2" t="s">
        <v>492</v>
      </c>
      <c r="E1234" s="26" t="s">
        <v>1174</v>
      </c>
      <c r="F1234" s="19">
        <v>0</v>
      </c>
      <c r="G1234" s="19"/>
      <c r="H1234" s="17">
        <f>ROUND((P_2_98.h Qté)*(P_2_98.h PU),2)</f>
        <v>0</v>
      </c>
    </row>
    <row r="1235" spans="1:8" s="40" customFormat="1" ht="12">
      <c r="A1235" s="39">
        <f t="shared" si="19"/>
        <v>2</v>
      </c>
      <c r="B1235" s="39" t="s">
        <v>1385</v>
      </c>
      <c r="C1235" s="7" t="s">
        <v>1127</v>
      </c>
      <c r="D1235" s="8" t="s">
        <v>706</v>
      </c>
      <c r="E1235" s="25" t="s">
        <v>1127</v>
      </c>
      <c r="F1235" s="18"/>
      <c r="G1235" s="18"/>
      <c r="H1235" s="17"/>
    </row>
    <row r="1236" spans="1:8" s="3" customFormat="1" ht="12">
      <c r="A1236" s="41">
        <f t="shared" si="19"/>
        <v>2</v>
      </c>
      <c r="B1236" s="41" t="s">
        <v>1386</v>
      </c>
      <c r="C1236" s="1" t="s">
        <v>1837</v>
      </c>
      <c r="D1236" s="2" t="s">
        <v>493</v>
      </c>
      <c r="E1236" s="26" t="s">
        <v>1174</v>
      </c>
      <c r="F1236" s="19">
        <v>0</v>
      </c>
      <c r="G1236" s="19"/>
      <c r="H1236" s="17">
        <f>ROUND((P_2_98.i Qté)*(P_2_98.i PU),2)</f>
        <v>0</v>
      </c>
    </row>
    <row r="1237" spans="1:8" s="3" customFormat="1" ht="12">
      <c r="A1237" s="41">
        <f t="shared" si="19"/>
        <v>2</v>
      </c>
      <c r="B1237" s="41" t="s">
        <v>1386</v>
      </c>
      <c r="C1237" s="1" t="s">
        <v>1838</v>
      </c>
      <c r="D1237" s="2" t="s">
        <v>494</v>
      </c>
      <c r="E1237" s="26" t="s">
        <v>1174</v>
      </c>
      <c r="F1237" s="19">
        <v>0</v>
      </c>
      <c r="G1237" s="19"/>
      <c r="H1237" s="17">
        <f>ROUND((P_2_98.j Qté)*(P_2_98.j PU),2)</f>
        <v>0</v>
      </c>
    </row>
    <row r="1238" spans="1:8" s="3" customFormat="1" ht="12">
      <c r="A1238" s="41">
        <f t="shared" si="19"/>
        <v>2</v>
      </c>
      <c r="B1238" s="41" t="s">
        <v>1386</v>
      </c>
      <c r="C1238" s="1" t="s">
        <v>1839</v>
      </c>
      <c r="D1238" s="2" t="s">
        <v>495</v>
      </c>
      <c r="E1238" s="26" t="s">
        <v>1174</v>
      </c>
      <c r="F1238" s="19">
        <v>0</v>
      </c>
      <c r="G1238" s="19"/>
      <c r="H1238" s="17">
        <f>ROUND((P_2_98.k Qté)*(P_2_98.k PU),2)</f>
        <v>0</v>
      </c>
    </row>
    <row r="1239" spans="1:8" s="3" customFormat="1" ht="12">
      <c r="A1239" s="41">
        <f t="shared" si="19"/>
        <v>2</v>
      </c>
      <c r="B1239" s="41" t="s">
        <v>1386</v>
      </c>
      <c r="C1239" s="1" t="s">
        <v>1840</v>
      </c>
      <c r="D1239" s="2" t="s">
        <v>496</v>
      </c>
      <c r="E1239" s="26" t="s">
        <v>1174</v>
      </c>
      <c r="F1239" s="19">
        <v>0</v>
      </c>
      <c r="G1239" s="19"/>
      <c r="H1239" s="17">
        <f>ROUND((P_2_98.l Qté)*(P_2_98.l PU),2)</f>
        <v>0</v>
      </c>
    </row>
    <row r="1240" spans="1:8" s="40" customFormat="1" ht="24">
      <c r="A1240" s="39">
        <f t="shared" si="19"/>
        <v>2</v>
      </c>
      <c r="B1240" s="39" t="s">
        <v>1385</v>
      </c>
      <c r="C1240" s="7" t="s">
        <v>1004</v>
      </c>
      <c r="D1240" s="8" t="s">
        <v>1323</v>
      </c>
      <c r="E1240" s="25" t="s">
        <v>1127</v>
      </c>
      <c r="F1240" s="18"/>
      <c r="G1240" s="18"/>
      <c r="H1240" s="17"/>
    </row>
    <row r="1241" spans="1:8" s="40" customFormat="1" ht="36">
      <c r="A1241" s="39">
        <f t="shared" si="19"/>
        <v>2</v>
      </c>
      <c r="B1241" s="39" t="s">
        <v>1385</v>
      </c>
      <c r="C1241" s="7" t="s">
        <v>1127</v>
      </c>
      <c r="D1241" s="8" t="s">
        <v>707</v>
      </c>
      <c r="E1241" s="25" t="s">
        <v>1127</v>
      </c>
      <c r="F1241" s="18"/>
      <c r="G1241" s="18"/>
      <c r="H1241" s="17"/>
    </row>
    <row r="1242" spans="1:8" s="40" customFormat="1" ht="24">
      <c r="A1242" s="39">
        <f t="shared" si="19"/>
        <v>2</v>
      </c>
      <c r="B1242" s="39" t="s">
        <v>1385</v>
      </c>
      <c r="C1242" s="7" t="s">
        <v>1127</v>
      </c>
      <c r="D1242" s="8" t="s">
        <v>436</v>
      </c>
      <c r="E1242" s="25" t="s">
        <v>1127</v>
      </c>
      <c r="F1242" s="18"/>
      <c r="G1242" s="18"/>
      <c r="H1242" s="17"/>
    </row>
    <row r="1243" spans="1:8" s="40" customFormat="1" ht="12">
      <c r="A1243" s="39">
        <f t="shared" si="19"/>
        <v>2</v>
      </c>
      <c r="B1243" s="39" t="s">
        <v>1385</v>
      </c>
      <c r="C1243" s="7" t="s">
        <v>1127</v>
      </c>
      <c r="D1243" s="8" t="s">
        <v>437</v>
      </c>
      <c r="E1243" s="25" t="s">
        <v>1127</v>
      </c>
      <c r="F1243" s="18"/>
      <c r="G1243" s="18"/>
      <c r="H1243" s="17"/>
    </row>
    <row r="1244" spans="1:8" s="40" customFormat="1" ht="12">
      <c r="A1244" s="39">
        <f t="shared" si="19"/>
        <v>2</v>
      </c>
      <c r="B1244" s="39" t="s">
        <v>1385</v>
      </c>
      <c r="C1244" s="7" t="s">
        <v>1127</v>
      </c>
      <c r="D1244" s="8" t="s">
        <v>428</v>
      </c>
      <c r="E1244" s="25" t="s">
        <v>1127</v>
      </c>
      <c r="F1244" s="18"/>
      <c r="G1244" s="18"/>
      <c r="H1244" s="17"/>
    </row>
    <row r="1245" spans="1:8" s="40" customFormat="1" ht="24">
      <c r="A1245" s="39">
        <f t="shared" si="19"/>
        <v>2</v>
      </c>
      <c r="B1245" s="39" t="s">
        <v>1385</v>
      </c>
      <c r="C1245" s="7" t="s">
        <v>1127</v>
      </c>
      <c r="D1245" s="8" t="s">
        <v>438</v>
      </c>
      <c r="E1245" s="25" t="s">
        <v>1127</v>
      </c>
      <c r="F1245" s="18"/>
      <c r="G1245" s="18"/>
      <c r="H1245" s="17"/>
    </row>
    <row r="1246" spans="1:8" s="40" customFormat="1" ht="36">
      <c r="A1246" s="39">
        <f t="shared" si="19"/>
        <v>2</v>
      </c>
      <c r="B1246" s="39" t="s">
        <v>1385</v>
      </c>
      <c r="C1246" s="7" t="s">
        <v>1127</v>
      </c>
      <c r="D1246" s="8" t="s">
        <v>439</v>
      </c>
      <c r="E1246" s="25" t="s">
        <v>1127</v>
      </c>
      <c r="F1246" s="18"/>
      <c r="G1246" s="18"/>
      <c r="H1246" s="17"/>
    </row>
    <row r="1247" spans="1:8" s="40" customFormat="1" ht="12">
      <c r="A1247" s="39">
        <f t="shared" si="19"/>
        <v>2</v>
      </c>
      <c r="B1247" s="39" t="s">
        <v>1385</v>
      </c>
      <c r="C1247" s="7" t="s">
        <v>1127</v>
      </c>
      <c r="D1247" s="8" t="s">
        <v>637</v>
      </c>
      <c r="E1247" s="25" t="s">
        <v>1127</v>
      </c>
      <c r="F1247" s="18"/>
      <c r="G1247" s="18"/>
      <c r="H1247" s="17"/>
    </row>
    <row r="1248" spans="1:8" s="40" customFormat="1" ht="12">
      <c r="A1248" s="39">
        <f t="shared" si="19"/>
        <v>2</v>
      </c>
      <c r="B1248" s="39" t="s">
        <v>1385</v>
      </c>
      <c r="C1248" s="7" t="s">
        <v>1127</v>
      </c>
      <c r="D1248" s="8" t="s">
        <v>704</v>
      </c>
      <c r="E1248" s="25" t="s">
        <v>1127</v>
      </c>
      <c r="F1248" s="18"/>
      <c r="G1248" s="18"/>
      <c r="H1248" s="17"/>
    </row>
    <row r="1249" spans="1:8" s="3" customFormat="1" ht="12">
      <c r="A1249" s="41">
        <f t="shared" si="19"/>
        <v>2</v>
      </c>
      <c r="B1249" s="41" t="s">
        <v>1386</v>
      </c>
      <c r="C1249" s="1" t="s">
        <v>1841</v>
      </c>
      <c r="D1249" s="2" t="s">
        <v>485</v>
      </c>
      <c r="E1249" s="26" t="s">
        <v>1174</v>
      </c>
      <c r="F1249" s="19">
        <v>0</v>
      </c>
      <c r="G1249" s="19"/>
      <c r="H1249" s="17">
        <f>ROUND((P_2_99.a Qté)*(P_2_99.a PU),2)</f>
        <v>0</v>
      </c>
    </row>
    <row r="1250" spans="1:8" s="3" customFormat="1" ht="12">
      <c r="A1250" s="41">
        <f t="shared" si="19"/>
        <v>2</v>
      </c>
      <c r="B1250" s="41" t="s">
        <v>1386</v>
      </c>
      <c r="C1250" s="1" t="s">
        <v>1255</v>
      </c>
      <c r="D1250" s="2" t="s">
        <v>486</v>
      </c>
      <c r="E1250" s="26" t="s">
        <v>1174</v>
      </c>
      <c r="F1250" s="19">
        <v>0</v>
      </c>
      <c r="G1250" s="19"/>
      <c r="H1250" s="17">
        <f>ROUND((P_2_99.b Qté)*(P_2_99.b PU),2)</f>
        <v>0</v>
      </c>
    </row>
    <row r="1251" spans="1:8" s="3" customFormat="1" ht="12">
      <c r="A1251" s="41">
        <f t="shared" si="19"/>
        <v>2</v>
      </c>
      <c r="B1251" s="41" t="s">
        <v>1386</v>
      </c>
      <c r="C1251" s="1" t="s">
        <v>1254</v>
      </c>
      <c r="D1251" s="2" t="s">
        <v>487</v>
      </c>
      <c r="E1251" s="26" t="s">
        <v>1174</v>
      </c>
      <c r="F1251" s="19">
        <v>0</v>
      </c>
      <c r="G1251" s="19"/>
      <c r="H1251" s="17">
        <f>ROUND((P_2_99.c Qté)*(P_2_99.c PU),2)</f>
        <v>0</v>
      </c>
    </row>
    <row r="1252" spans="1:8" s="3" customFormat="1" ht="12">
      <c r="A1252" s="41">
        <f t="shared" si="19"/>
        <v>2</v>
      </c>
      <c r="B1252" s="41" t="s">
        <v>1386</v>
      </c>
      <c r="C1252" s="1" t="s">
        <v>1253</v>
      </c>
      <c r="D1252" s="2" t="s">
        <v>488</v>
      </c>
      <c r="E1252" s="26" t="s">
        <v>1174</v>
      </c>
      <c r="F1252" s="19">
        <v>0</v>
      </c>
      <c r="G1252" s="19"/>
      <c r="H1252" s="17">
        <f>ROUND((P_2_99.d Qté)*(P_2_99.d PU),2)</f>
        <v>0</v>
      </c>
    </row>
    <row r="1253" spans="1:8" s="40" customFormat="1" ht="12">
      <c r="A1253" s="39">
        <f t="shared" si="19"/>
        <v>2</v>
      </c>
      <c r="B1253" s="39" t="s">
        <v>1385</v>
      </c>
      <c r="C1253" s="7" t="s">
        <v>1127</v>
      </c>
      <c r="D1253" s="8" t="s">
        <v>705</v>
      </c>
      <c r="E1253" s="25" t="s">
        <v>1127</v>
      </c>
      <c r="F1253" s="18"/>
      <c r="G1253" s="18"/>
      <c r="H1253" s="17"/>
    </row>
    <row r="1254" spans="1:8" s="3" customFormat="1" ht="12">
      <c r="A1254" s="41">
        <f t="shared" si="19"/>
        <v>2</v>
      </c>
      <c r="B1254" s="41" t="s">
        <v>1386</v>
      </c>
      <c r="C1254" s="1" t="s">
        <v>1252</v>
      </c>
      <c r="D1254" s="2" t="s">
        <v>489</v>
      </c>
      <c r="E1254" s="26" t="s">
        <v>1174</v>
      </c>
      <c r="F1254" s="19">
        <v>0</v>
      </c>
      <c r="G1254" s="19"/>
      <c r="H1254" s="17">
        <f>ROUND((P_2_99.e Qté)*(P_2_99.e PU),2)</f>
        <v>0</v>
      </c>
    </row>
    <row r="1255" spans="1:8" s="3" customFormat="1" ht="12">
      <c r="A1255" s="41">
        <f t="shared" si="19"/>
        <v>2</v>
      </c>
      <c r="B1255" s="41" t="s">
        <v>1386</v>
      </c>
      <c r="C1255" s="1" t="s">
        <v>1251</v>
      </c>
      <c r="D1255" s="2" t="s">
        <v>490</v>
      </c>
      <c r="E1255" s="26" t="s">
        <v>1174</v>
      </c>
      <c r="F1255" s="19">
        <v>0</v>
      </c>
      <c r="G1255" s="19"/>
      <c r="H1255" s="17">
        <f>ROUND((P_2_99.f Qté)*(P_2_99.f PU),2)</f>
        <v>0</v>
      </c>
    </row>
    <row r="1256" spans="1:8" s="3" customFormat="1" ht="12">
      <c r="A1256" s="41">
        <f t="shared" si="19"/>
        <v>2</v>
      </c>
      <c r="B1256" s="41" t="s">
        <v>1386</v>
      </c>
      <c r="C1256" s="1" t="s">
        <v>1250</v>
      </c>
      <c r="D1256" s="2" t="s">
        <v>491</v>
      </c>
      <c r="E1256" s="26" t="s">
        <v>1174</v>
      </c>
      <c r="F1256" s="19">
        <v>0</v>
      </c>
      <c r="G1256" s="19"/>
      <c r="H1256" s="17">
        <f>ROUND((P_2_99.g Qté)*(P_2_99.g PU),2)</f>
        <v>0</v>
      </c>
    </row>
    <row r="1257" spans="1:8" s="3" customFormat="1" ht="12">
      <c r="A1257" s="41">
        <f t="shared" si="19"/>
        <v>2</v>
      </c>
      <c r="B1257" s="41" t="s">
        <v>1386</v>
      </c>
      <c r="C1257" s="1" t="s">
        <v>1249</v>
      </c>
      <c r="D1257" s="2" t="s">
        <v>492</v>
      </c>
      <c r="E1257" s="26" t="s">
        <v>1174</v>
      </c>
      <c r="F1257" s="19">
        <v>0</v>
      </c>
      <c r="G1257" s="19"/>
      <c r="H1257" s="17">
        <f>ROUND((P_2_99.h Qté)*(P_2_99.h PU),2)</f>
        <v>0</v>
      </c>
    </row>
    <row r="1258" spans="1:8" s="40" customFormat="1" ht="12">
      <c r="A1258" s="39">
        <f t="shared" si="19"/>
        <v>2</v>
      </c>
      <c r="B1258" s="39" t="s">
        <v>1385</v>
      </c>
      <c r="C1258" s="7" t="s">
        <v>1127</v>
      </c>
      <c r="D1258" s="8" t="s">
        <v>706</v>
      </c>
      <c r="E1258" s="25" t="s">
        <v>1127</v>
      </c>
      <c r="F1258" s="18"/>
      <c r="G1258" s="18"/>
      <c r="H1258" s="17"/>
    </row>
    <row r="1259" spans="1:8" s="3" customFormat="1" ht="12">
      <c r="A1259" s="41">
        <f t="shared" si="19"/>
        <v>2</v>
      </c>
      <c r="B1259" s="41" t="s">
        <v>1386</v>
      </c>
      <c r="C1259" s="1" t="s">
        <v>1248</v>
      </c>
      <c r="D1259" s="2" t="s">
        <v>493</v>
      </c>
      <c r="E1259" s="26" t="s">
        <v>1174</v>
      </c>
      <c r="F1259" s="19">
        <v>0</v>
      </c>
      <c r="G1259" s="19"/>
      <c r="H1259" s="17">
        <f>ROUND((P_2_99.i Qté)*(P_2_99.i PU),2)</f>
        <v>0</v>
      </c>
    </row>
    <row r="1260" spans="1:8" s="3" customFormat="1" ht="12">
      <c r="A1260" s="41">
        <f t="shared" si="19"/>
        <v>2</v>
      </c>
      <c r="B1260" s="41" t="s">
        <v>1386</v>
      </c>
      <c r="C1260" s="1" t="s">
        <v>1247</v>
      </c>
      <c r="D1260" s="2" t="s">
        <v>494</v>
      </c>
      <c r="E1260" s="26" t="s">
        <v>1174</v>
      </c>
      <c r="F1260" s="19">
        <v>0</v>
      </c>
      <c r="G1260" s="19"/>
      <c r="H1260" s="17">
        <f>ROUND((P_2_99.j Qté)*(P_2_99.j PU),2)</f>
        <v>0</v>
      </c>
    </row>
    <row r="1261" spans="1:8" s="3" customFormat="1" ht="12">
      <c r="A1261" s="41">
        <f t="shared" si="19"/>
        <v>2</v>
      </c>
      <c r="B1261" s="41" t="s">
        <v>1386</v>
      </c>
      <c r="C1261" s="1" t="s">
        <v>1246</v>
      </c>
      <c r="D1261" s="2" t="s">
        <v>495</v>
      </c>
      <c r="E1261" s="26" t="s">
        <v>1174</v>
      </c>
      <c r="F1261" s="19">
        <v>0</v>
      </c>
      <c r="G1261" s="19"/>
      <c r="H1261" s="17">
        <f>ROUND((P_2_99.k Qté)*(P_2_99.k PU),2)</f>
        <v>0</v>
      </c>
    </row>
    <row r="1262" spans="1:8" s="3" customFormat="1" ht="12">
      <c r="A1262" s="41">
        <f t="shared" si="19"/>
        <v>2</v>
      </c>
      <c r="B1262" s="41" t="s">
        <v>1386</v>
      </c>
      <c r="C1262" s="1" t="s">
        <v>1245</v>
      </c>
      <c r="D1262" s="2" t="s">
        <v>496</v>
      </c>
      <c r="E1262" s="26" t="s">
        <v>1174</v>
      </c>
      <c r="F1262" s="19">
        <v>0</v>
      </c>
      <c r="G1262" s="19"/>
      <c r="H1262" s="17">
        <f>ROUND((P_2_99.l Qté)*(P_2_99.l PU),2)</f>
        <v>0</v>
      </c>
    </row>
    <row r="1263" spans="1:8" s="3" customFormat="1" ht="24">
      <c r="A1263" s="41">
        <f t="shared" si="19"/>
        <v>2</v>
      </c>
      <c r="B1263" s="41" t="s">
        <v>1386</v>
      </c>
      <c r="C1263" s="1" t="s">
        <v>1005</v>
      </c>
      <c r="D1263" s="2" t="s">
        <v>708</v>
      </c>
      <c r="E1263" s="26" t="s">
        <v>1174</v>
      </c>
      <c r="F1263" s="19">
        <v>0</v>
      </c>
      <c r="G1263" s="19"/>
      <c r="H1263" s="17">
        <f>ROUND((P_2_100 Qté)*(P_2_100 PU),2)</f>
        <v>0</v>
      </c>
    </row>
    <row r="1264" spans="1:8" s="40" customFormat="1" ht="48">
      <c r="A1264" s="39">
        <f aca="true" t="shared" si="20" ref="A1264:A1327">A1263</f>
        <v>2</v>
      </c>
      <c r="B1264" s="39" t="s">
        <v>1385</v>
      </c>
      <c r="C1264" s="7" t="s">
        <v>1127</v>
      </c>
      <c r="D1264" s="8" t="s">
        <v>1516</v>
      </c>
      <c r="E1264" s="25" t="s">
        <v>1127</v>
      </c>
      <c r="F1264" s="18"/>
      <c r="G1264" s="18"/>
      <c r="H1264" s="17"/>
    </row>
    <row r="1265" spans="1:8" s="40" customFormat="1" ht="24">
      <c r="A1265" s="39">
        <f t="shared" si="20"/>
        <v>2</v>
      </c>
      <c r="B1265" s="39" t="s">
        <v>1385</v>
      </c>
      <c r="C1265" s="7" t="s">
        <v>1006</v>
      </c>
      <c r="D1265" s="8" t="s">
        <v>1324</v>
      </c>
      <c r="E1265" s="25" t="s">
        <v>1127</v>
      </c>
      <c r="F1265" s="18"/>
      <c r="G1265" s="18"/>
      <c r="H1265" s="17"/>
    </row>
    <row r="1266" spans="1:8" s="40" customFormat="1" ht="48">
      <c r="A1266" s="39">
        <f t="shared" si="20"/>
        <v>2</v>
      </c>
      <c r="B1266" s="39" t="s">
        <v>1385</v>
      </c>
      <c r="C1266" s="7" t="s">
        <v>1127</v>
      </c>
      <c r="D1266" s="8" t="s">
        <v>709</v>
      </c>
      <c r="E1266" s="25" t="s">
        <v>1127</v>
      </c>
      <c r="F1266" s="18"/>
      <c r="G1266" s="18"/>
      <c r="H1266" s="17"/>
    </row>
    <row r="1267" spans="1:8" s="40" customFormat="1" ht="24">
      <c r="A1267" s="39">
        <f t="shared" si="20"/>
        <v>2</v>
      </c>
      <c r="B1267" s="39" t="s">
        <v>1385</v>
      </c>
      <c r="C1267" s="7" t="s">
        <v>1127</v>
      </c>
      <c r="D1267" s="8" t="s">
        <v>436</v>
      </c>
      <c r="E1267" s="25" t="s">
        <v>1127</v>
      </c>
      <c r="F1267" s="18"/>
      <c r="G1267" s="18"/>
      <c r="H1267" s="17"/>
    </row>
    <row r="1268" spans="1:8" s="40" customFormat="1" ht="12">
      <c r="A1268" s="39">
        <f t="shared" si="20"/>
        <v>2</v>
      </c>
      <c r="B1268" s="39" t="s">
        <v>1385</v>
      </c>
      <c r="C1268" s="7" t="s">
        <v>1127</v>
      </c>
      <c r="D1268" s="8" t="s">
        <v>437</v>
      </c>
      <c r="E1268" s="25" t="s">
        <v>1127</v>
      </c>
      <c r="F1268" s="18"/>
      <c r="G1268" s="18"/>
      <c r="H1268" s="17"/>
    </row>
    <row r="1269" spans="1:8" s="40" customFormat="1" ht="12">
      <c r="A1269" s="39">
        <f t="shared" si="20"/>
        <v>2</v>
      </c>
      <c r="B1269" s="39" t="s">
        <v>1385</v>
      </c>
      <c r="C1269" s="7" t="s">
        <v>1127</v>
      </c>
      <c r="D1269" s="8" t="s">
        <v>428</v>
      </c>
      <c r="E1269" s="25" t="s">
        <v>1127</v>
      </c>
      <c r="F1269" s="18"/>
      <c r="G1269" s="18"/>
      <c r="H1269" s="17"/>
    </row>
    <row r="1270" spans="1:8" s="40" customFormat="1" ht="24">
      <c r="A1270" s="39">
        <f t="shared" si="20"/>
        <v>2</v>
      </c>
      <c r="B1270" s="39" t="s">
        <v>1385</v>
      </c>
      <c r="C1270" s="7" t="s">
        <v>1127</v>
      </c>
      <c r="D1270" s="8" t="s">
        <v>438</v>
      </c>
      <c r="E1270" s="25" t="s">
        <v>1127</v>
      </c>
      <c r="F1270" s="18"/>
      <c r="G1270" s="18"/>
      <c r="H1270" s="17"/>
    </row>
    <row r="1271" spans="1:8" s="40" customFormat="1" ht="36">
      <c r="A1271" s="39">
        <f t="shared" si="20"/>
        <v>2</v>
      </c>
      <c r="B1271" s="39" t="s">
        <v>1385</v>
      </c>
      <c r="C1271" s="7" t="s">
        <v>1127</v>
      </c>
      <c r="D1271" s="8" t="s">
        <v>439</v>
      </c>
      <c r="E1271" s="25" t="s">
        <v>1127</v>
      </c>
      <c r="F1271" s="18"/>
      <c r="G1271" s="18"/>
      <c r="H1271" s="17"/>
    </row>
    <row r="1272" spans="1:8" s="40" customFormat="1" ht="12">
      <c r="A1272" s="39">
        <f t="shared" si="20"/>
        <v>2</v>
      </c>
      <c r="B1272" s="39" t="s">
        <v>1385</v>
      </c>
      <c r="C1272" s="7" t="s">
        <v>1127</v>
      </c>
      <c r="D1272" s="8" t="s">
        <v>637</v>
      </c>
      <c r="E1272" s="25" t="s">
        <v>1127</v>
      </c>
      <c r="F1272" s="18"/>
      <c r="G1272" s="18"/>
      <c r="H1272" s="17"/>
    </row>
    <row r="1273" spans="1:8" s="3" customFormat="1" ht="12">
      <c r="A1273" s="41">
        <f t="shared" si="20"/>
        <v>2</v>
      </c>
      <c r="B1273" s="41" t="s">
        <v>1386</v>
      </c>
      <c r="C1273" s="1" t="s">
        <v>1842</v>
      </c>
      <c r="D1273" s="2" t="s">
        <v>497</v>
      </c>
      <c r="E1273" s="26" t="s">
        <v>1206</v>
      </c>
      <c r="F1273" s="19">
        <v>0</v>
      </c>
      <c r="G1273" s="19"/>
      <c r="H1273" s="17">
        <f>ROUND((P_2_101.a Qté)*(P_2_101.a PU),2)</f>
        <v>0</v>
      </c>
    </row>
    <row r="1274" spans="1:8" s="3" customFormat="1" ht="12">
      <c r="A1274" s="41">
        <f t="shared" si="20"/>
        <v>2</v>
      </c>
      <c r="B1274" s="41" t="s">
        <v>1386</v>
      </c>
      <c r="C1274" s="1" t="s">
        <v>1244</v>
      </c>
      <c r="D1274" s="2" t="s">
        <v>498</v>
      </c>
      <c r="E1274" s="26" t="s">
        <v>1206</v>
      </c>
      <c r="F1274" s="19">
        <v>0</v>
      </c>
      <c r="G1274" s="19"/>
      <c r="H1274" s="17">
        <f>ROUND((P_2_101.b Qté)*(P_2_101.b PU),2)</f>
        <v>0</v>
      </c>
    </row>
    <row r="1275" spans="1:8" s="3" customFormat="1" ht="12">
      <c r="A1275" s="41">
        <f t="shared" si="20"/>
        <v>2</v>
      </c>
      <c r="B1275" s="41" t="s">
        <v>1386</v>
      </c>
      <c r="C1275" s="1" t="s">
        <v>1243</v>
      </c>
      <c r="D1275" s="2" t="s">
        <v>499</v>
      </c>
      <c r="E1275" s="26" t="s">
        <v>1206</v>
      </c>
      <c r="F1275" s="19">
        <v>0</v>
      </c>
      <c r="G1275" s="19"/>
      <c r="H1275" s="17">
        <f>ROUND((P_2_101.c Qté)*(P_2_101.c PU),2)</f>
        <v>0</v>
      </c>
    </row>
    <row r="1276" spans="1:8" s="40" customFormat="1" ht="24">
      <c r="A1276" s="39">
        <f t="shared" si="20"/>
        <v>2</v>
      </c>
      <c r="B1276" s="39" t="s">
        <v>1385</v>
      </c>
      <c r="C1276" s="7" t="s">
        <v>1007</v>
      </c>
      <c r="D1276" s="8" t="s">
        <v>710</v>
      </c>
      <c r="E1276" s="25" t="s">
        <v>1127</v>
      </c>
      <c r="F1276" s="18"/>
      <c r="G1276" s="18"/>
      <c r="H1276" s="17"/>
    </row>
    <row r="1277" spans="1:8" s="40" customFormat="1" ht="36">
      <c r="A1277" s="39">
        <f t="shared" si="20"/>
        <v>2</v>
      </c>
      <c r="B1277" s="39" t="s">
        <v>1385</v>
      </c>
      <c r="C1277" s="7" t="s">
        <v>1127</v>
      </c>
      <c r="D1277" s="8" t="s">
        <v>711</v>
      </c>
      <c r="E1277" s="25" t="s">
        <v>1127</v>
      </c>
      <c r="F1277" s="18"/>
      <c r="G1277" s="18"/>
      <c r="H1277" s="17"/>
    </row>
    <row r="1278" spans="1:8" s="40" customFormat="1" ht="24">
      <c r="A1278" s="39">
        <f t="shared" si="20"/>
        <v>2</v>
      </c>
      <c r="B1278" s="39" t="s">
        <v>1385</v>
      </c>
      <c r="C1278" s="7" t="s">
        <v>1127</v>
      </c>
      <c r="D1278" s="8" t="s">
        <v>436</v>
      </c>
      <c r="E1278" s="25" t="s">
        <v>1127</v>
      </c>
      <c r="F1278" s="18"/>
      <c r="G1278" s="18"/>
      <c r="H1278" s="17"/>
    </row>
    <row r="1279" spans="1:8" s="40" customFormat="1" ht="12">
      <c r="A1279" s="39">
        <f t="shared" si="20"/>
        <v>2</v>
      </c>
      <c r="B1279" s="39" t="s">
        <v>1385</v>
      </c>
      <c r="C1279" s="7" t="s">
        <v>1127</v>
      </c>
      <c r="D1279" s="8" t="s">
        <v>437</v>
      </c>
      <c r="E1279" s="25" t="s">
        <v>1127</v>
      </c>
      <c r="F1279" s="18"/>
      <c r="G1279" s="18"/>
      <c r="H1279" s="17"/>
    </row>
    <row r="1280" spans="1:8" s="40" customFormat="1" ht="12">
      <c r="A1280" s="39">
        <f t="shared" si="20"/>
        <v>2</v>
      </c>
      <c r="B1280" s="39" t="s">
        <v>1385</v>
      </c>
      <c r="C1280" s="7" t="s">
        <v>1127</v>
      </c>
      <c r="D1280" s="8" t="s">
        <v>428</v>
      </c>
      <c r="E1280" s="25" t="s">
        <v>1127</v>
      </c>
      <c r="F1280" s="18"/>
      <c r="G1280" s="18"/>
      <c r="H1280" s="17"/>
    </row>
    <row r="1281" spans="1:8" s="40" customFormat="1" ht="24">
      <c r="A1281" s="39">
        <f t="shared" si="20"/>
        <v>2</v>
      </c>
      <c r="B1281" s="39" t="s">
        <v>1385</v>
      </c>
      <c r="C1281" s="7" t="s">
        <v>1127</v>
      </c>
      <c r="D1281" s="8" t="s">
        <v>438</v>
      </c>
      <c r="E1281" s="25" t="s">
        <v>1127</v>
      </c>
      <c r="F1281" s="18"/>
      <c r="G1281" s="18"/>
      <c r="H1281" s="17"/>
    </row>
    <row r="1282" spans="1:8" s="40" customFormat="1" ht="36">
      <c r="A1282" s="39">
        <f t="shared" si="20"/>
        <v>2</v>
      </c>
      <c r="B1282" s="39" t="s">
        <v>1385</v>
      </c>
      <c r="C1282" s="7" t="s">
        <v>1127</v>
      </c>
      <c r="D1282" s="8" t="s">
        <v>439</v>
      </c>
      <c r="E1282" s="25" t="s">
        <v>1127</v>
      </c>
      <c r="F1282" s="18"/>
      <c r="G1282" s="18"/>
      <c r="H1282" s="17"/>
    </row>
    <row r="1283" spans="1:8" s="40" customFormat="1" ht="12">
      <c r="A1283" s="39">
        <f t="shared" si="20"/>
        <v>2</v>
      </c>
      <c r="B1283" s="39" t="s">
        <v>1385</v>
      </c>
      <c r="C1283" s="7" t="s">
        <v>1127</v>
      </c>
      <c r="D1283" s="8" t="s">
        <v>637</v>
      </c>
      <c r="E1283" s="25" t="s">
        <v>1127</v>
      </c>
      <c r="F1283" s="18"/>
      <c r="G1283" s="18"/>
      <c r="H1283" s="17"/>
    </row>
    <row r="1284" spans="1:8" s="40" customFormat="1" ht="12">
      <c r="A1284" s="39">
        <f t="shared" si="20"/>
        <v>2</v>
      </c>
      <c r="B1284" s="39" t="s">
        <v>1385</v>
      </c>
      <c r="C1284" s="7" t="s">
        <v>1127</v>
      </c>
      <c r="D1284" s="8" t="s">
        <v>712</v>
      </c>
      <c r="E1284" s="25" t="s">
        <v>1127</v>
      </c>
      <c r="F1284" s="18"/>
      <c r="G1284" s="18"/>
      <c r="H1284" s="17"/>
    </row>
    <row r="1285" spans="1:8" s="3" customFormat="1" ht="24">
      <c r="A1285" s="41">
        <f t="shared" si="20"/>
        <v>2</v>
      </c>
      <c r="B1285" s="41" t="s">
        <v>1386</v>
      </c>
      <c r="C1285" s="1" t="s">
        <v>1843</v>
      </c>
      <c r="D1285" s="2" t="s">
        <v>500</v>
      </c>
      <c r="E1285" s="26" t="s">
        <v>1227</v>
      </c>
      <c r="F1285" s="19">
        <v>0</v>
      </c>
      <c r="G1285" s="19"/>
      <c r="H1285" s="17">
        <f>ROUND((P_2_102.a Qté)*(P_2_102.a PU),2)</f>
        <v>0</v>
      </c>
    </row>
    <row r="1286" spans="1:8" s="3" customFormat="1" ht="24">
      <c r="A1286" s="41">
        <f t="shared" si="20"/>
        <v>2</v>
      </c>
      <c r="B1286" s="41" t="s">
        <v>1386</v>
      </c>
      <c r="C1286" s="1" t="s">
        <v>1280</v>
      </c>
      <c r="D1286" s="2" t="s">
        <v>501</v>
      </c>
      <c r="E1286" s="26" t="s">
        <v>1227</v>
      </c>
      <c r="F1286" s="19">
        <v>0</v>
      </c>
      <c r="G1286" s="19"/>
      <c r="H1286" s="17">
        <f>ROUND((P_2_102.b Qté)*(P_2_102.b PU),2)</f>
        <v>0</v>
      </c>
    </row>
    <row r="1287" spans="1:8" s="3" customFormat="1" ht="12">
      <c r="A1287" s="41">
        <f t="shared" si="20"/>
        <v>2</v>
      </c>
      <c r="B1287" s="41" t="s">
        <v>1386</v>
      </c>
      <c r="C1287" s="1" t="s">
        <v>1279</v>
      </c>
      <c r="D1287" s="2" t="s">
        <v>502</v>
      </c>
      <c r="E1287" s="26" t="s">
        <v>1227</v>
      </c>
      <c r="F1287" s="19">
        <v>0</v>
      </c>
      <c r="G1287" s="19"/>
      <c r="H1287" s="17">
        <f>ROUND((P_2_102.c Qté)*(P_2_102.c PU),2)</f>
        <v>0</v>
      </c>
    </row>
    <row r="1288" spans="1:8" s="3" customFormat="1" ht="24">
      <c r="A1288" s="41">
        <f t="shared" si="20"/>
        <v>2</v>
      </c>
      <c r="B1288" s="41" t="s">
        <v>1386</v>
      </c>
      <c r="C1288" s="1" t="s">
        <v>1278</v>
      </c>
      <c r="D1288" s="2" t="s">
        <v>503</v>
      </c>
      <c r="E1288" s="26" t="s">
        <v>1227</v>
      </c>
      <c r="F1288" s="19">
        <v>0</v>
      </c>
      <c r="G1288" s="19"/>
      <c r="H1288" s="17">
        <f>ROUND((P_2_102.d Qté)*(P_2_102.d PU),2)</f>
        <v>0</v>
      </c>
    </row>
    <row r="1289" spans="1:8" s="3" customFormat="1" ht="24">
      <c r="A1289" s="41">
        <f t="shared" si="20"/>
        <v>2</v>
      </c>
      <c r="B1289" s="41" t="s">
        <v>1386</v>
      </c>
      <c r="C1289" s="1" t="s">
        <v>1277</v>
      </c>
      <c r="D1289" s="2" t="s">
        <v>504</v>
      </c>
      <c r="E1289" s="26" t="s">
        <v>1227</v>
      </c>
      <c r="F1289" s="19">
        <v>0</v>
      </c>
      <c r="G1289" s="19"/>
      <c r="H1289" s="17">
        <f>ROUND((P_2_102.e Qté)*(P_2_102.e PU),2)</f>
        <v>0</v>
      </c>
    </row>
    <row r="1290" spans="1:8" s="3" customFormat="1" ht="12">
      <c r="A1290" s="41">
        <f t="shared" si="20"/>
        <v>2</v>
      </c>
      <c r="B1290" s="41" t="s">
        <v>1386</v>
      </c>
      <c r="C1290" s="1" t="s">
        <v>1276</v>
      </c>
      <c r="D1290" s="2" t="s">
        <v>505</v>
      </c>
      <c r="E1290" s="26" t="s">
        <v>1227</v>
      </c>
      <c r="F1290" s="19">
        <v>0</v>
      </c>
      <c r="G1290" s="19"/>
      <c r="H1290" s="17">
        <f>ROUND((P_2_102.f Qté)*(P_2_102.f PU),2)</f>
        <v>0</v>
      </c>
    </row>
    <row r="1291" spans="1:8" s="3" customFormat="1" ht="12">
      <c r="A1291" s="41">
        <f t="shared" si="20"/>
        <v>2</v>
      </c>
      <c r="B1291" s="41" t="s">
        <v>1386</v>
      </c>
      <c r="C1291" s="1" t="s">
        <v>1275</v>
      </c>
      <c r="D1291" s="2" t="s">
        <v>506</v>
      </c>
      <c r="E1291" s="26" t="s">
        <v>1227</v>
      </c>
      <c r="F1291" s="19">
        <v>0</v>
      </c>
      <c r="G1291" s="19"/>
      <c r="H1291" s="17">
        <f>ROUND((P_2_102.g Qté)*(P_2_102.g PU),2)</f>
        <v>0</v>
      </c>
    </row>
    <row r="1292" spans="1:8" s="40" customFormat="1" ht="12">
      <c r="A1292" s="39">
        <f t="shared" si="20"/>
        <v>2</v>
      </c>
      <c r="B1292" s="39" t="s">
        <v>1385</v>
      </c>
      <c r="C1292" s="7" t="s">
        <v>1127</v>
      </c>
      <c r="D1292" s="8" t="s">
        <v>705</v>
      </c>
      <c r="E1292" s="25" t="s">
        <v>1127</v>
      </c>
      <c r="F1292" s="18"/>
      <c r="G1292" s="18"/>
      <c r="H1292" s="17"/>
    </row>
    <row r="1293" spans="1:8" s="3" customFormat="1" ht="24">
      <c r="A1293" s="41">
        <f t="shared" si="20"/>
        <v>2</v>
      </c>
      <c r="B1293" s="41" t="s">
        <v>1386</v>
      </c>
      <c r="C1293" s="1" t="s">
        <v>1274</v>
      </c>
      <c r="D1293" s="2" t="s">
        <v>507</v>
      </c>
      <c r="E1293" s="26" t="s">
        <v>1227</v>
      </c>
      <c r="F1293" s="19">
        <v>0</v>
      </c>
      <c r="G1293" s="19"/>
      <c r="H1293" s="17">
        <f>ROUND((P_2_102.h Qté)*(P_2_102.h PU),2)</f>
        <v>0</v>
      </c>
    </row>
    <row r="1294" spans="1:8" s="3" customFormat="1" ht="24">
      <c r="A1294" s="41">
        <f t="shared" si="20"/>
        <v>2</v>
      </c>
      <c r="B1294" s="41" t="s">
        <v>1386</v>
      </c>
      <c r="C1294" s="1" t="s">
        <v>1273</v>
      </c>
      <c r="D1294" s="2" t="s">
        <v>508</v>
      </c>
      <c r="E1294" s="26" t="s">
        <v>1227</v>
      </c>
      <c r="F1294" s="19">
        <v>0</v>
      </c>
      <c r="G1294" s="19"/>
      <c r="H1294" s="17">
        <f>ROUND((P_2_102.i Qté)*(P_2_102.i PU),2)</f>
        <v>0</v>
      </c>
    </row>
    <row r="1295" spans="1:8" s="3" customFormat="1" ht="12">
      <c r="A1295" s="41">
        <f t="shared" si="20"/>
        <v>2</v>
      </c>
      <c r="B1295" s="41" t="s">
        <v>1386</v>
      </c>
      <c r="C1295" s="1" t="s">
        <v>1272</v>
      </c>
      <c r="D1295" s="2" t="s">
        <v>509</v>
      </c>
      <c r="E1295" s="26" t="s">
        <v>1227</v>
      </c>
      <c r="F1295" s="19">
        <v>0</v>
      </c>
      <c r="G1295" s="19"/>
      <c r="H1295" s="17">
        <f>ROUND((P_2_102.j Qté)*(P_2_102.j PU),2)</f>
        <v>0</v>
      </c>
    </row>
    <row r="1296" spans="1:8" s="3" customFormat="1" ht="24">
      <c r="A1296" s="41">
        <f t="shared" si="20"/>
        <v>2</v>
      </c>
      <c r="B1296" s="41" t="s">
        <v>1386</v>
      </c>
      <c r="C1296" s="1" t="s">
        <v>1271</v>
      </c>
      <c r="D1296" s="2" t="s">
        <v>510</v>
      </c>
      <c r="E1296" s="26" t="s">
        <v>1227</v>
      </c>
      <c r="F1296" s="19">
        <v>0</v>
      </c>
      <c r="G1296" s="19"/>
      <c r="H1296" s="17">
        <f>ROUND((P_2_102.k Qté)*(P_2_102.k PU),2)</f>
        <v>0</v>
      </c>
    </row>
    <row r="1297" spans="1:8" s="3" customFormat="1" ht="24">
      <c r="A1297" s="41">
        <f t="shared" si="20"/>
        <v>2</v>
      </c>
      <c r="B1297" s="41" t="s">
        <v>1386</v>
      </c>
      <c r="C1297" s="1" t="s">
        <v>1270</v>
      </c>
      <c r="D1297" s="2" t="s">
        <v>511</v>
      </c>
      <c r="E1297" s="26" t="s">
        <v>1227</v>
      </c>
      <c r="F1297" s="19">
        <v>0</v>
      </c>
      <c r="G1297" s="19"/>
      <c r="H1297" s="17">
        <f>ROUND((P_2_102.l Qté)*(P_2_102.l PU),2)</f>
        <v>0</v>
      </c>
    </row>
    <row r="1298" spans="1:8" s="3" customFormat="1" ht="12">
      <c r="A1298" s="41">
        <f t="shared" si="20"/>
        <v>2</v>
      </c>
      <c r="B1298" s="41" t="s">
        <v>1386</v>
      </c>
      <c r="C1298" s="1" t="s">
        <v>1269</v>
      </c>
      <c r="D1298" s="2" t="s">
        <v>512</v>
      </c>
      <c r="E1298" s="26" t="s">
        <v>1227</v>
      </c>
      <c r="F1298" s="19">
        <v>0</v>
      </c>
      <c r="G1298" s="19"/>
      <c r="H1298" s="17">
        <f>ROUND((P_2_102.m Qté)*(P_2_102.m PU),2)</f>
        <v>0</v>
      </c>
    </row>
    <row r="1299" spans="1:8" s="3" customFormat="1" ht="12">
      <c r="A1299" s="41">
        <f t="shared" si="20"/>
        <v>2</v>
      </c>
      <c r="B1299" s="41" t="s">
        <v>1386</v>
      </c>
      <c r="C1299" s="1" t="s">
        <v>1268</v>
      </c>
      <c r="D1299" s="2" t="s">
        <v>513</v>
      </c>
      <c r="E1299" s="26" t="s">
        <v>1227</v>
      </c>
      <c r="F1299" s="19">
        <v>0</v>
      </c>
      <c r="G1299" s="19"/>
      <c r="H1299" s="17">
        <f>ROUND((P_2_102.n Qté)*(P_2_102.n PU),2)</f>
        <v>0</v>
      </c>
    </row>
    <row r="1300" spans="1:8" s="40" customFormat="1" ht="12">
      <c r="A1300" s="39">
        <f t="shared" si="20"/>
        <v>2</v>
      </c>
      <c r="B1300" s="39" t="s">
        <v>1385</v>
      </c>
      <c r="C1300" s="7" t="s">
        <v>1127</v>
      </c>
      <c r="D1300" s="8" t="s">
        <v>706</v>
      </c>
      <c r="E1300" s="25" t="s">
        <v>1127</v>
      </c>
      <c r="F1300" s="18"/>
      <c r="G1300" s="18"/>
      <c r="H1300" s="17"/>
    </row>
    <row r="1301" spans="1:8" s="3" customFormat="1" ht="24">
      <c r="A1301" s="41">
        <f t="shared" si="20"/>
        <v>2</v>
      </c>
      <c r="B1301" s="41" t="s">
        <v>1386</v>
      </c>
      <c r="C1301" s="1" t="s">
        <v>1267</v>
      </c>
      <c r="D1301" s="2" t="s">
        <v>514</v>
      </c>
      <c r="E1301" s="26" t="s">
        <v>1227</v>
      </c>
      <c r="F1301" s="19">
        <v>0</v>
      </c>
      <c r="G1301" s="19"/>
      <c r="H1301" s="17">
        <f>ROUND((P_2_102.o Qté)*(P_2_102.o PU),2)</f>
        <v>0</v>
      </c>
    </row>
    <row r="1302" spans="1:8" s="3" customFormat="1" ht="24">
      <c r="A1302" s="41">
        <f t="shared" si="20"/>
        <v>2</v>
      </c>
      <c r="B1302" s="41" t="s">
        <v>1386</v>
      </c>
      <c r="C1302" s="1" t="s">
        <v>1266</v>
      </c>
      <c r="D1302" s="2" t="s">
        <v>515</v>
      </c>
      <c r="E1302" s="26" t="s">
        <v>1227</v>
      </c>
      <c r="F1302" s="19">
        <v>0</v>
      </c>
      <c r="G1302" s="19"/>
      <c r="H1302" s="17">
        <f>ROUND((P_2_102.p Qté)*(P_2_102.p PU),2)</f>
        <v>0</v>
      </c>
    </row>
    <row r="1303" spans="1:8" s="3" customFormat="1" ht="12">
      <c r="A1303" s="41">
        <f t="shared" si="20"/>
        <v>2</v>
      </c>
      <c r="B1303" s="41" t="s">
        <v>1386</v>
      </c>
      <c r="C1303" s="1" t="s">
        <v>1265</v>
      </c>
      <c r="D1303" s="2" t="s">
        <v>516</v>
      </c>
      <c r="E1303" s="26" t="s">
        <v>1227</v>
      </c>
      <c r="F1303" s="19">
        <v>0</v>
      </c>
      <c r="G1303" s="19"/>
      <c r="H1303" s="17">
        <f>ROUND((P_2_102.q Qté)*(P_2_102.q PU),2)</f>
        <v>0</v>
      </c>
    </row>
    <row r="1304" spans="1:8" s="3" customFormat="1" ht="24">
      <c r="A1304" s="41">
        <f t="shared" si="20"/>
        <v>2</v>
      </c>
      <c r="B1304" s="41" t="s">
        <v>1386</v>
      </c>
      <c r="C1304" s="1" t="s">
        <v>1264</v>
      </c>
      <c r="D1304" s="2" t="s">
        <v>517</v>
      </c>
      <c r="E1304" s="26" t="s">
        <v>1227</v>
      </c>
      <c r="F1304" s="19">
        <v>0</v>
      </c>
      <c r="G1304" s="19"/>
      <c r="H1304" s="17">
        <f>ROUND((P_2_102.r Qté)*(P_2_102.r PU),2)</f>
        <v>0</v>
      </c>
    </row>
    <row r="1305" spans="1:8" s="3" customFormat="1" ht="24">
      <c r="A1305" s="41">
        <f t="shared" si="20"/>
        <v>2</v>
      </c>
      <c r="B1305" s="41" t="s">
        <v>1386</v>
      </c>
      <c r="C1305" s="1" t="s">
        <v>1263</v>
      </c>
      <c r="D1305" s="2" t="s">
        <v>518</v>
      </c>
      <c r="E1305" s="26" t="s">
        <v>1227</v>
      </c>
      <c r="F1305" s="19">
        <v>0</v>
      </c>
      <c r="G1305" s="19"/>
      <c r="H1305" s="17">
        <f>ROUND((P_2_102.s Qté)*(P_2_102.s PU),2)</f>
        <v>0</v>
      </c>
    </row>
    <row r="1306" spans="1:8" s="3" customFormat="1" ht="12">
      <c r="A1306" s="41">
        <f t="shared" si="20"/>
        <v>2</v>
      </c>
      <c r="B1306" s="41" t="s">
        <v>1386</v>
      </c>
      <c r="C1306" s="1" t="s">
        <v>1262</v>
      </c>
      <c r="D1306" s="2" t="s">
        <v>519</v>
      </c>
      <c r="E1306" s="26" t="s">
        <v>1227</v>
      </c>
      <c r="F1306" s="19">
        <v>0</v>
      </c>
      <c r="G1306" s="19"/>
      <c r="H1306" s="17">
        <f>ROUND((P_2_102.t Qté)*(P_2_102.t PU),2)</f>
        <v>0</v>
      </c>
    </row>
    <row r="1307" spans="1:8" s="3" customFormat="1" ht="12">
      <c r="A1307" s="41">
        <f t="shared" si="20"/>
        <v>2</v>
      </c>
      <c r="B1307" s="41" t="s">
        <v>1386</v>
      </c>
      <c r="C1307" s="1" t="s">
        <v>1261</v>
      </c>
      <c r="D1307" s="2" t="s">
        <v>520</v>
      </c>
      <c r="E1307" s="26" t="s">
        <v>1227</v>
      </c>
      <c r="F1307" s="19">
        <v>0</v>
      </c>
      <c r="G1307" s="19"/>
      <c r="H1307" s="17">
        <f>ROUND((P_2_102.u Qté)*(P_2_102.u PU),2)</f>
        <v>0</v>
      </c>
    </row>
    <row r="1308" spans="1:8" s="40" customFormat="1" ht="12">
      <c r="A1308" s="39">
        <f t="shared" si="20"/>
        <v>2</v>
      </c>
      <c r="B1308" s="39" t="s">
        <v>1385</v>
      </c>
      <c r="C1308" s="7" t="s">
        <v>1127</v>
      </c>
      <c r="D1308" s="8" t="s">
        <v>713</v>
      </c>
      <c r="E1308" s="25" t="s">
        <v>1127</v>
      </c>
      <c r="F1308" s="18"/>
      <c r="G1308" s="18"/>
      <c r="H1308" s="17"/>
    </row>
    <row r="1309" spans="1:8" s="3" customFormat="1" ht="24">
      <c r="A1309" s="41">
        <f t="shared" si="20"/>
        <v>2</v>
      </c>
      <c r="B1309" s="41" t="s">
        <v>1386</v>
      </c>
      <c r="C1309" s="1" t="s">
        <v>1260</v>
      </c>
      <c r="D1309" s="2" t="s">
        <v>521</v>
      </c>
      <c r="E1309" s="26" t="s">
        <v>1227</v>
      </c>
      <c r="F1309" s="19">
        <v>0</v>
      </c>
      <c r="G1309" s="19"/>
      <c r="H1309" s="17">
        <f>ROUND((P_2_102.v Qté)*(P_2_102.v PU),2)</f>
        <v>0</v>
      </c>
    </row>
    <row r="1310" spans="1:8" s="3" customFormat="1" ht="24">
      <c r="A1310" s="41">
        <f t="shared" si="20"/>
        <v>2</v>
      </c>
      <c r="B1310" s="41" t="s">
        <v>1386</v>
      </c>
      <c r="C1310" s="1" t="s">
        <v>1259</v>
      </c>
      <c r="D1310" s="2" t="s">
        <v>522</v>
      </c>
      <c r="E1310" s="26" t="s">
        <v>1227</v>
      </c>
      <c r="F1310" s="19">
        <v>0</v>
      </c>
      <c r="G1310" s="19"/>
      <c r="H1310" s="17">
        <f>ROUND((P_2_102.w Qté)*(P_2_102.w PU),2)</f>
        <v>0</v>
      </c>
    </row>
    <row r="1311" spans="1:8" s="3" customFormat="1" ht="12">
      <c r="A1311" s="41">
        <f t="shared" si="20"/>
        <v>2</v>
      </c>
      <c r="B1311" s="41" t="s">
        <v>1386</v>
      </c>
      <c r="C1311" s="1" t="s">
        <v>1258</v>
      </c>
      <c r="D1311" s="2" t="s">
        <v>523</v>
      </c>
      <c r="E1311" s="26" t="s">
        <v>1227</v>
      </c>
      <c r="F1311" s="19">
        <v>0</v>
      </c>
      <c r="G1311" s="19"/>
      <c r="H1311" s="17">
        <f>ROUND((P_2_102.x Qté)*(P_2_102.x PU),2)</f>
        <v>0</v>
      </c>
    </row>
    <row r="1312" spans="1:8" s="3" customFormat="1" ht="24">
      <c r="A1312" s="41">
        <f t="shared" si="20"/>
        <v>2</v>
      </c>
      <c r="B1312" s="41" t="s">
        <v>1386</v>
      </c>
      <c r="C1312" s="1" t="s">
        <v>1257</v>
      </c>
      <c r="D1312" s="2" t="s">
        <v>524</v>
      </c>
      <c r="E1312" s="26" t="s">
        <v>1227</v>
      </c>
      <c r="F1312" s="19">
        <v>0</v>
      </c>
      <c r="G1312" s="19"/>
      <c r="H1312" s="17">
        <f>ROUND((P_2_102.y Qté)*(P_2_102.y PU),2)</f>
        <v>0</v>
      </c>
    </row>
    <row r="1313" spans="1:8" s="3" customFormat="1" ht="24">
      <c r="A1313" s="41">
        <f t="shared" si="20"/>
        <v>2</v>
      </c>
      <c r="B1313" s="41" t="s">
        <v>1386</v>
      </c>
      <c r="C1313" s="1" t="s">
        <v>1256</v>
      </c>
      <c r="D1313" s="2" t="s">
        <v>525</v>
      </c>
      <c r="E1313" s="26" t="s">
        <v>1227</v>
      </c>
      <c r="F1313" s="19">
        <v>0</v>
      </c>
      <c r="G1313" s="19"/>
      <c r="H1313" s="17">
        <f>ROUND((P_2_102.z Qté)*(P_2_102.z PU),2)</f>
        <v>0</v>
      </c>
    </row>
    <row r="1314" spans="1:8" s="40" customFormat="1" ht="24">
      <c r="A1314" s="39">
        <f t="shared" si="20"/>
        <v>2</v>
      </c>
      <c r="B1314" s="39" t="s">
        <v>1385</v>
      </c>
      <c r="C1314" s="7" t="s">
        <v>1008</v>
      </c>
      <c r="D1314" s="8" t="s">
        <v>1325</v>
      </c>
      <c r="E1314" s="25" t="s">
        <v>1127</v>
      </c>
      <c r="F1314" s="18"/>
      <c r="G1314" s="18"/>
      <c r="H1314" s="17"/>
    </row>
    <row r="1315" spans="1:8" s="40" customFormat="1" ht="48">
      <c r="A1315" s="39">
        <f t="shared" si="20"/>
        <v>2</v>
      </c>
      <c r="B1315" s="39" t="s">
        <v>1385</v>
      </c>
      <c r="C1315" s="7" t="s">
        <v>1127</v>
      </c>
      <c r="D1315" s="8" t="s">
        <v>714</v>
      </c>
      <c r="E1315" s="25" t="s">
        <v>1127</v>
      </c>
      <c r="F1315" s="18"/>
      <c r="G1315" s="18"/>
      <c r="H1315" s="17"/>
    </row>
    <row r="1316" spans="1:8" s="40" customFormat="1" ht="24">
      <c r="A1316" s="39">
        <f t="shared" si="20"/>
        <v>2</v>
      </c>
      <c r="B1316" s="39" t="s">
        <v>1385</v>
      </c>
      <c r="C1316" s="7" t="s">
        <v>1127</v>
      </c>
      <c r="D1316" s="8" t="s">
        <v>436</v>
      </c>
      <c r="E1316" s="25" t="s">
        <v>1127</v>
      </c>
      <c r="F1316" s="18"/>
      <c r="G1316" s="18"/>
      <c r="H1316" s="17"/>
    </row>
    <row r="1317" spans="1:8" s="40" customFormat="1" ht="12">
      <c r="A1317" s="39">
        <f t="shared" si="20"/>
        <v>2</v>
      </c>
      <c r="B1317" s="39" t="s">
        <v>1385</v>
      </c>
      <c r="C1317" s="7" t="s">
        <v>1127</v>
      </c>
      <c r="D1317" s="8" t="s">
        <v>437</v>
      </c>
      <c r="E1317" s="25" t="s">
        <v>1127</v>
      </c>
      <c r="F1317" s="18"/>
      <c r="G1317" s="18"/>
      <c r="H1317" s="17"/>
    </row>
    <row r="1318" spans="1:8" s="40" customFormat="1" ht="12">
      <c r="A1318" s="39">
        <f t="shared" si="20"/>
        <v>2</v>
      </c>
      <c r="B1318" s="39" t="s">
        <v>1385</v>
      </c>
      <c r="C1318" s="7" t="s">
        <v>1127</v>
      </c>
      <c r="D1318" s="8" t="s">
        <v>428</v>
      </c>
      <c r="E1318" s="25" t="s">
        <v>1127</v>
      </c>
      <c r="F1318" s="18"/>
      <c r="G1318" s="18"/>
      <c r="H1318" s="17"/>
    </row>
    <row r="1319" spans="1:8" s="40" customFormat="1" ht="24">
      <c r="A1319" s="39">
        <f t="shared" si="20"/>
        <v>2</v>
      </c>
      <c r="B1319" s="39" t="s">
        <v>1385</v>
      </c>
      <c r="C1319" s="7" t="s">
        <v>1127</v>
      </c>
      <c r="D1319" s="8" t="s">
        <v>438</v>
      </c>
      <c r="E1319" s="25" t="s">
        <v>1127</v>
      </c>
      <c r="F1319" s="18"/>
      <c r="G1319" s="18"/>
      <c r="H1319" s="17"/>
    </row>
    <row r="1320" spans="1:8" s="40" customFormat="1" ht="36">
      <c r="A1320" s="39">
        <f t="shared" si="20"/>
        <v>2</v>
      </c>
      <c r="B1320" s="39" t="s">
        <v>1385</v>
      </c>
      <c r="C1320" s="7" t="s">
        <v>1127</v>
      </c>
      <c r="D1320" s="8" t="s">
        <v>439</v>
      </c>
      <c r="E1320" s="25" t="s">
        <v>1127</v>
      </c>
      <c r="F1320" s="18"/>
      <c r="G1320" s="18"/>
      <c r="H1320" s="17"/>
    </row>
    <row r="1321" spans="1:8" s="40" customFormat="1" ht="12">
      <c r="A1321" s="39">
        <f t="shared" si="20"/>
        <v>2</v>
      </c>
      <c r="B1321" s="39" t="s">
        <v>1385</v>
      </c>
      <c r="C1321" s="7" t="s">
        <v>1127</v>
      </c>
      <c r="D1321" s="8" t="s">
        <v>637</v>
      </c>
      <c r="E1321" s="25" t="s">
        <v>1127</v>
      </c>
      <c r="F1321" s="18"/>
      <c r="G1321" s="18"/>
      <c r="H1321" s="17"/>
    </row>
    <row r="1322" spans="1:8" s="3" customFormat="1" ht="12">
      <c r="A1322" s="41">
        <f t="shared" si="20"/>
        <v>2</v>
      </c>
      <c r="B1322" s="41" t="s">
        <v>1386</v>
      </c>
      <c r="C1322" s="1" t="s">
        <v>1844</v>
      </c>
      <c r="D1322" s="2" t="s">
        <v>526</v>
      </c>
      <c r="E1322" s="26" t="s">
        <v>1227</v>
      </c>
      <c r="F1322" s="19">
        <v>0</v>
      </c>
      <c r="G1322" s="19"/>
      <c r="H1322" s="17">
        <f>ROUND((P_2_103.a Qté)*(P_2_103.a PU),2)</f>
        <v>0</v>
      </c>
    </row>
    <row r="1323" spans="1:8" s="3" customFormat="1" ht="12">
      <c r="A1323" s="41">
        <f t="shared" si="20"/>
        <v>2</v>
      </c>
      <c r="B1323" s="41" t="s">
        <v>1386</v>
      </c>
      <c r="C1323" s="1" t="s">
        <v>1290</v>
      </c>
      <c r="D1323" s="2" t="s">
        <v>527</v>
      </c>
      <c r="E1323" s="26" t="s">
        <v>1227</v>
      </c>
      <c r="F1323" s="19">
        <v>0</v>
      </c>
      <c r="G1323" s="19"/>
      <c r="H1323" s="17">
        <f>ROUND((P_2_103.b Qté)*(P_2_103.b PU),2)</f>
        <v>0</v>
      </c>
    </row>
    <row r="1324" spans="1:8" s="3" customFormat="1" ht="12">
      <c r="A1324" s="41">
        <f t="shared" si="20"/>
        <v>2</v>
      </c>
      <c r="B1324" s="41" t="s">
        <v>1386</v>
      </c>
      <c r="C1324" s="1" t="s">
        <v>1289</v>
      </c>
      <c r="D1324" s="2" t="s">
        <v>528</v>
      </c>
      <c r="E1324" s="26" t="s">
        <v>1227</v>
      </c>
      <c r="F1324" s="19">
        <v>0</v>
      </c>
      <c r="G1324" s="19"/>
      <c r="H1324" s="17">
        <f>ROUND((P_2_103.c Qté)*(P_2_103.c PU),2)</f>
        <v>0</v>
      </c>
    </row>
    <row r="1325" spans="1:8" s="3" customFormat="1" ht="12">
      <c r="A1325" s="41">
        <f t="shared" si="20"/>
        <v>2</v>
      </c>
      <c r="B1325" s="41" t="s">
        <v>1386</v>
      </c>
      <c r="C1325" s="1" t="s">
        <v>1288</v>
      </c>
      <c r="D1325" s="2" t="s">
        <v>529</v>
      </c>
      <c r="E1325" s="26" t="s">
        <v>1227</v>
      </c>
      <c r="F1325" s="19">
        <v>0</v>
      </c>
      <c r="G1325" s="19"/>
      <c r="H1325" s="17">
        <f>ROUND((P_2_103.d Qté)*(P_2_103.d PU),2)</f>
        <v>0</v>
      </c>
    </row>
    <row r="1326" spans="1:8" s="3" customFormat="1" ht="12">
      <c r="A1326" s="41">
        <f t="shared" si="20"/>
        <v>2</v>
      </c>
      <c r="B1326" s="41" t="s">
        <v>1386</v>
      </c>
      <c r="C1326" s="1" t="s">
        <v>1287</v>
      </c>
      <c r="D1326" s="2" t="s">
        <v>530</v>
      </c>
      <c r="E1326" s="26" t="s">
        <v>1227</v>
      </c>
      <c r="F1326" s="19">
        <v>0</v>
      </c>
      <c r="G1326" s="19"/>
      <c r="H1326" s="17">
        <f>ROUND((P_2_103.e Qté)*(P_2_103.e PU),2)</f>
        <v>0</v>
      </c>
    </row>
    <row r="1327" spans="1:8" s="3" customFormat="1" ht="12">
      <c r="A1327" s="41">
        <f t="shared" si="20"/>
        <v>2</v>
      </c>
      <c r="B1327" s="41" t="s">
        <v>1386</v>
      </c>
      <c r="C1327" s="1" t="s">
        <v>1286</v>
      </c>
      <c r="D1327" s="2" t="s">
        <v>531</v>
      </c>
      <c r="E1327" s="26" t="s">
        <v>1227</v>
      </c>
      <c r="F1327" s="19">
        <v>0</v>
      </c>
      <c r="G1327" s="19"/>
      <c r="H1327" s="17">
        <f>ROUND((P_2_103.f Qté)*(P_2_103.f PU),2)</f>
        <v>0</v>
      </c>
    </row>
    <row r="1328" spans="1:8" s="40" customFormat="1" ht="24">
      <c r="A1328" s="39">
        <f aca="true" t="shared" si="21" ref="A1328:A1391">A1327</f>
        <v>2</v>
      </c>
      <c r="B1328" s="39" t="s">
        <v>1385</v>
      </c>
      <c r="C1328" s="7" t="s">
        <v>1009</v>
      </c>
      <c r="D1328" s="8" t="s">
        <v>715</v>
      </c>
      <c r="E1328" s="25" t="s">
        <v>1127</v>
      </c>
      <c r="F1328" s="18"/>
      <c r="G1328" s="18"/>
      <c r="H1328" s="17"/>
    </row>
    <row r="1329" spans="1:8" s="40" customFormat="1" ht="36">
      <c r="A1329" s="39">
        <f t="shared" si="21"/>
        <v>2</v>
      </c>
      <c r="B1329" s="39" t="s">
        <v>1385</v>
      </c>
      <c r="C1329" s="7" t="s">
        <v>1127</v>
      </c>
      <c r="D1329" s="8" t="s">
        <v>716</v>
      </c>
      <c r="E1329" s="25" t="s">
        <v>1127</v>
      </c>
      <c r="F1329" s="18"/>
      <c r="G1329" s="18"/>
      <c r="H1329" s="17"/>
    </row>
    <row r="1330" spans="1:8" s="40" customFormat="1" ht="24">
      <c r="A1330" s="39">
        <f t="shared" si="21"/>
        <v>2</v>
      </c>
      <c r="B1330" s="39" t="s">
        <v>1385</v>
      </c>
      <c r="C1330" s="7" t="s">
        <v>1127</v>
      </c>
      <c r="D1330" s="8" t="s">
        <v>436</v>
      </c>
      <c r="E1330" s="25" t="s">
        <v>1127</v>
      </c>
      <c r="F1330" s="18"/>
      <c r="G1330" s="18"/>
      <c r="H1330" s="17"/>
    </row>
    <row r="1331" spans="1:8" s="40" customFormat="1" ht="12">
      <c r="A1331" s="39">
        <f t="shared" si="21"/>
        <v>2</v>
      </c>
      <c r="B1331" s="39" t="s">
        <v>1385</v>
      </c>
      <c r="C1331" s="7" t="s">
        <v>1127</v>
      </c>
      <c r="D1331" s="8" t="s">
        <v>437</v>
      </c>
      <c r="E1331" s="25" t="s">
        <v>1127</v>
      </c>
      <c r="F1331" s="18"/>
      <c r="G1331" s="18"/>
      <c r="H1331" s="17"/>
    </row>
    <row r="1332" spans="1:8" s="40" customFormat="1" ht="12">
      <c r="A1332" s="39">
        <f t="shared" si="21"/>
        <v>2</v>
      </c>
      <c r="B1332" s="39" t="s">
        <v>1385</v>
      </c>
      <c r="C1332" s="7" t="s">
        <v>1127</v>
      </c>
      <c r="D1332" s="8" t="s">
        <v>428</v>
      </c>
      <c r="E1332" s="25" t="s">
        <v>1127</v>
      </c>
      <c r="F1332" s="18"/>
      <c r="G1332" s="18"/>
      <c r="H1332" s="17"/>
    </row>
    <row r="1333" spans="1:8" s="40" customFormat="1" ht="24">
      <c r="A1333" s="39">
        <f t="shared" si="21"/>
        <v>2</v>
      </c>
      <c r="B1333" s="39" t="s">
        <v>1385</v>
      </c>
      <c r="C1333" s="7" t="s">
        <v>1127</v>
      </c>
      <c r="D1333" s="8" t="s">
        <v>438</v>
      </c>
      <c r="E1333" s="25" t="s">
        <v>1127</v>
      </c>
      <c r="F1333" s="18"/>
      <c r="G1333" s="18"/>
      <c r="H1333" s="17"/>
    </row>
    <row r="1334" spans="1:8" s="40" customFormat="1" ht="36">
      <c r="A1334" s="39">
        <f t="shared" si="21"/>
        <v>2</v>
      </c>
      <c r="B1334" s="39" t="s">
        <v>1385</v>
      </c>
      <c r="C1334" s="7" t="s">
        <v>1127</v>
      </c>
      <c r="D1334" s="8" t="s">
        <v>439</v>
      </c>
      <c r="E1334" s="25" t="s">
        <v>1127</v>
      </c>
      <c r="F1334" s="18"/>
      <c r="G1334" s="18"/>
      <c r="H1334" s="17"/>
    </row>
    <row r="1335" spans="1:8" s="40" customFormat="1" ht="12">
      <c r="A1335" s="39">
        <f t="shared" si="21"/>
        <v>2</v>
      </c>
      <c r="B1335" s="39" t="s">
        <v>1385</v>
      </c>
      <c r="C1335" s="7" t="s">
        <v>1127</v>
      </c>
      <c r="D1335" s="8" t="s">
        <v>637</v>
      </c>
      <c r="E1335" s="25" t="s">
        <v>1127</v>
      </c>
      <c r="F1335" s="18"/>
      <c r="G1335" s="18"/>
      <c r="H1335" s="17"/>
    </row>
    <row r="1336" spans="1:8" s="40" customFormat="1" ht="12">
      <c r="A1336" s="39">
        <f t="shared" si="21"/>
        <v>2</v>
      </c>
      <c r="B1336" s="39" t="s">
        <v>1385</v>
      </c>
      <c r="C1336" s="7" t="s">
        <v>1127</v>
      </c>
      <c r="D1336" s="8" t="s">
        <v>712</v>
      </c>
      <c r="E1336" s="25" t="s">
        <v>1127</v>
      </c>
      <c r="F1336" s="18"/>
      <c r="G1336" s="18"/>
      <c r="H1336" s="17"/>
    </row>
    <row r="1337" spans="1:8" s="3" customFormat="1" ht="12">
      <c r="A1337" s="41">
        <f t="shared" si="21"/>
        <v>2</v>
      </c>
      <c r="B1337" s="41" t="s">
        <v>1386</v>
      </c>
      <c r="C1337" s="1" t="s">
        <v>1845</v>
      </c>
      <c r="D1337" s="2" t="s">
        <v>532</v>
      </c>
      <c r="E1337" s="26" t="s">
        <v>1464</v>
      </c>
      <c r="F1337" s="19">
        <v>0</v>
      </c>
      <c r="G1337" s="19"/>
      <c r="H1337" s="17">
        <f>ROUND((P_2_104.a Qté)*(P_2_104.a PU),2)</f>
        <v>0</v>
      </c>
    </row>
    <row r="1338" spans="1:8" s="3" customFormat="1" ht="12">
      <c r="A1338" s="41">
        <f t="shared" si="21"/>
        <v>2</v>
      </c>
      <c r="B1338" s="41" t="s">
        <v>1386</v>
      </c>
      <c r="C1338" s="1" t="s">
        <v>1285</v>
      </c>
      <c r="D1338" s="2" t="s">
        <v>533</v>
      </c>
      <c r="E1338" s="26" t="s">
        <v>1464</v>
      </c>
      <c r="F1338" s="19">
        <v>0</v>
      </c>
      <c r="G1338" s="19"/>
      <c r="H1338" s="17">
        <f>ROUND((P_2_104.b Qté)*(P_2_104.b PU),2)</f>
        <v>0</v>
      </c>
    </row>
    <row r="1339" spans="1:8" s="40" customFormat="1" ht="12">
      <c r="A1339" s="39">
        <f t="shared" si="21"/>
        <v>2</v>
      </c>
      <c r="B1339" s="39" t="s">
        <v>1385</v>
      </c>
      <c r="C1339" s="7" t="s">
        <v>1127</v>
      </c>
      <c r="D1339" s="8" t="s">
        <v>705</v>
      </c>
      <c r="E1339" s="25" t="s">
        <v>1127</v>
      </c>
      <c r="F1339" s="18"/>
      <c r="G1339" s="18"/>
      <c r="H1339" s="17"/>
    </row>
    <row r="1340" spans="1:8" s="3" customFormat="1" ht="12">
      <c r="A1340" s="41">
        <f t="shared" si="21"/>
        <v>2</v>
      </c>
      <c r="B1340" s="41" t="s">
        <v>1386</v>
      </c>
      <c r="C1340" s="1" t="s">
        <v>1284</v>
      </c>
      <c r="D1340" s="2" t="s">
        <v>534</v>
      </c>
      <c r="E1340" s="26" t="s">
        <v>1464</v>
      </c>
      <c r="F1340" s="19">
        <v>0</v>
      </c>
      <c r="G1340" s="19"/>
      <c r="H1340" s="17">
        <f>ROUND((P_2_104.c Qté)*(P_2_104.c PU),2)</f>
        <v>0</v>
      </c>
    </row>
    <row r="1341" spans="1:8" s="3" customFormat="1" ht="12">
      <c r="A1341" s="41">
        <f t="shared" si="21"/>
        <v>2</v>
      </c>
      <c r="B1341" s="41" t="s">
        <v>1386</v>
      </c>
      <c r="C1341" s="1" t="s">
        <v>1283</v>
      </c>
      <c r="D1341" s="2" t="s">
        <v>535</v>
      </c>
      <c r="E1341" s="26" t="s">
        <v>1464</v>
      </c>
      <c r="F1341" s="19">
        <v>0</v>
      </c>
      <c r="G1341" s="19"/>
      <c r="H1341" s="17">
        <f>ROUND((P_2_104.d Qté)*(P_2_104.d PU),2)</f>
        <v>0</v>
      </c>
    </row>
    <row r="1342" spans="1:8" s="40" customFormat="1" ht="12">
      <c r="A1342" s="39">
        <f t="shared" si="21"/>
        <v>2</v>
      </c>
      <c r="B1342" s="39" t="s">
        <v>1385</v>
      </c>
      <c r="C1342" s="7" t="s">
        <v>1127</v>
      </c>
      <c r="D1342" s="8" t="s">
        <v>706</v>
      </c>
      <c r="E1342" s="25" t="s">
        <v>1127</v>
      </c>
      <c r="F1342" s="18"/>
      <c r="G1342" s="18"/>
      <c r="H1342" s="17"/>
    </row>
    <row r="1343" spans="1:8" s="3" customFormat="1" ht="12">
      <c r="A1343" s="41">
        <f t="shared" si="21"/>
        <v>2</v>
      </c>
      <c r="B1343" s="41" t="s">
        <v>1386</v>
      </c>
      <c r="C1343" s="1" t="s">
        <v>1282</v>
      </c>
      <c r="D1343" s="2" t="s">
        <v>536</v>
      </c>
      <c r="E1343" s="26" t="s">
        <v>1464</v>
      </c>
      <c r="F1343" s="19">
        <v>0</v>
      </c>
      <c r="G1343" s="19"/>
      <c r="H1343" s="17">
        <f>ROUND((P_2_104.e Qté)*(P_2_104.e PU),2)</f>
        <v>0</v>
      </c>
    </row>
    <row r="1344" spans="1:8" s="3" customFormat="1" ht="12">
      <c r="A1344" s="41">
        <f t="shared" si="21"/>
        <v>2</v>
      </c>
      <c r="B1344" s="41" t="s">
        <v>1386</v>
      </c>
      <c r="C1344" s="1" t="s">
        <v>1281</v>
      </c>
      <c r="D1344" s="2" t="s">
        <v>537</v>
      </c>
      <c r="E1344" s="26" t="s">
        <v>1464</v>
      </c>
      <c r="F1344" s="19">
        <v>0</v>
      </c>
      <c r="G1344" s="19"/>
      <c r="H1344" s="17">
        <f>ROUND((P_2_104.f Qté)*(P_2_104.f PU),2)</f>
        <v>0</v>
      </c>
    </row>
    <row r="1345" spans="1:8" s="3" customFormat="1" ht="24">
      <c r="A1345" s="41">
        <f t="shared" si="21"/>
        <v>2</v>
      </c>
      <c r="B1345" s="41" t="s">
        <v>1386</v>
      </c>
      <c r="C1345" s="1" t="s">
        <v>1010</v>
      </c>
      <c r="D1345" s="2" t="s">
        <v>717</v>
      </c>
      <c r="E1345" s="26" t="s">
        <v>1206</v>
      </c>
      <c r="F1345" s="19">
        <v>0</v>
      </c>
      <c r="G1345" s="19"/>
      <c r="H1345" s="17">
        <f>ROUND((P_2_105 Qté)*(P_2_105 PU),2)</f>
        <v>0</v>
      </c>
    </row>
    <row r="1346" spans="1:8" s="40" customFormat="1" ht="24">
      <c r="A1346" s="39">
        <f t="shared" si="21"/>
        <v>2</v>
      </c>
      <c r="B1346" s="39" t="s">
        <v>1385</v>
      </c>
      <c r="C1346" s="7" t="s">
        <v>1127</v>
      </c>
      <c r="D1346" s="8" t="s">
        <v>718</v>
      </c>
      <c r="E1346" s="25" t="s">
        <v>1127</v>
      </c>
      <c r="F1346" s="18"/>
      <c r="G1346" s="18"/>
      <c r="H1346" s="17"/>
    </row>
    <row r="1347" spans="1:8" s="40" customFormat="1" ht="12">
      <c r="A1347" s="39">
        <f t="shared" si="21"/>
        <v>2</v>
      </c>
      <c r="B1347" s="39" t="s">
        <v>1385</v>
      </c>
      <c r="C1347" s="7" t="s">
        <v>1127</v>
      </c>
      <c r="D1347" s="8" t="s">
        <v>428</v>
      </c>
      <c r="E1347" s="25" t="s">
        <v>1127</v>
      </c>
      <c r="F1347" s="18"/>
      <c r="G1347" s="18"/>
      <c r="H1347" s="17"/>
    </row>
    <row r="1348" spans="1:8" s="40" customFormat="1" ht="12">
      <c r="A1348" s="39">
        <f t="shared" si="21"/>
        <v>2</v>
      </c>
      <c r="B1348" s="39" t="s">
        <v>1385</v>
      </c>
      <c r="C1348" s="7" t="s">
        <v>1127</v>
      </c>
      <c r="D1348" s="8" t="s">
        <v>538</v>
      </c>
      <c r="E1348" s="25" t="s">
        <v>1127</v>
      </c>
      <c r="F1348" s="18"/>
      <c r="G1348" s="18"/>
      <c r="H1348" s="17"/>
    </row>
    <row r="1349" spans="1:8" s="40" customFormat="1" ht="12">
      <c r="A1349" s="39">
        <f t="shared" si="21"/>
        <v>2</v>
      </c>
      <c r="B1349" s="39" t="s">
        <v>1385</v>
      </c>
      <c r="C1349" s="7" t="s">
        <v>1127</v>
      </c>
      <c r="D1349" s="8" t="s">
        <v>637</v>
      </c>
      <c r="E1349" s="25" t="s">
        <v>1127</v>
      </c>
      <c r="F1349" s="18"/>
      <c r="G1349" s="18"/>
      <c r="H1349" s="17"/>
    </row>
    <row r="1350" spans="1:8" s="3" customFormat="1" ht="36">
      <c r="A1350" s="41">
        <f t="shared" si="21"/>
        <v>2</v>
      </c>
      <c r="B1350" s="41" t="s">
        <v>1386</v>
      </c>
      <c r="C1350" s="1" t="s">
        <v>1011</v>
      </c>
      <c r="D1350" s="2" t="s">
        <v>1443</v>
      </c>
      <c r="E1350" s="26" t="s">
        <v>1206</v>
      </c>
      <c r="F1350" s="19">
        <v>0</v>
      </c>
      <c r="G1350" s="19"/>
      <c r="H1350" s="17">
        <f>ROUND((P_2_106 Qté)*(P_2_106 PU),2)</f>
        <v>0</v>
      </c>
    </row>
    <row r="1351" spans="1:8" s="40" customFormat="1" ht="36">
      <c r="A1351" s="39">
        <f t="shared" si="21"/>
        <v>2</v>
      </c>
      <c r="B1351" s="39" t="s">
        <v>1385</v>
      </c>
      <c r="C1351" s="7" t="s">
        <v>1127</v>
      </c>
      <c r="D1351" s="8" t="s">
        <v>1326</v>
      </c>
      <c r="E1351" s="25" t="s">
        <v>1127</v>
      </c>
      <c r="F1351" s="18"/>
      <c r="G1351" s="18"/>
      <c r="H1351" s="17"/>
    </row>
    <row r="1352" spans="1:8" s="40" customFormat="1" ht="24">
      <c r="A1352" s="39">
        <f t="shared" si="21"/>
        <v>2</v>
      </c>
      <c r="B1352" s="39" t="s">
        <v>1385</v>
      </c>
      <c r="C1352" s="7" t="s">
        <v>1127</v>
      </c>
      <c r="D1352" s="8" t="s">
        <v>539</v>
      </c>
      <c r="E1352" s="25" t="s">
        <v>1127</v>
      </c>
      <c r="F1352" s="18"/>
      <c r="G1352" s="18"/>
      <c r="H1352" s="17"/>
    </row>
    <row r="1353" spans="1:8" s="40" customFormat="1" ht="12">
      <c r="A1353" s="39">
        <f t="shared" si="21"/>
        <v>2</v>
      </c>
      <c r="B1353" s="39" t="s">
        <v>1385</v>
      </c>
      <c r="C1353" s="7" t="s">
        <v>1127</v>
      </c>
      <c r="D1353" s="8" t="s">
        <v>437</v>
      </c>
      <c r="E1353" s="25" t="s">
        <v>1127</v>
      </c>
      <c r="F1353" s="18"/>
      <c r="G1353" s="18"/>
      <c r="H1353" s="17"/>
    </row>
    <row r="1354" spans="1:8" s="40" customFormat="1" ht="12">
      <c r="A1354" s="39">
        <f t="shared" si="21"/>
        <v>2</v>
      </c>
      <c r="B1354" s="39" t="s">
        <v>1385</v>
      </c>
      <c r="C1354" s="7" t="s">
        <v>1127</v>
      </c>
      <c r="D1354" s="8" t="s">
        <v>428</v>
      </c>
      <c r="E1354" s="25" t="s">
        <v>1127</v>
      </c>
      <c r="F1354" s="18"/>
      <c r="G1354" s="18"/>
      <c r="H1354" s="17"/>
    </row>
    <row r="1355" spans="1:8" s="40" customFormat="1" ht="36">
      <c r="A1355" s="39">
        <f t="shared" si="21"/>
        <v>2</v>
      </c>
      <c r="B1355" s="39" t="s">
        <v>1385</v>
      </c>
      <c r="C1355" s="7" t="s">
        <v>1127</v>
      </c>
      <c r="D1355" s="8" t="s">
        <v>0</v>
      </c>
      <c r="E1355" s="25" t="s">
        <v>1127</v>
      </c>
      <c r="F1355" s="18"/>
      <c r="G1355" s="18"/>
      <c r="H1355" s="17"/>
    </row>
    <row r="1356" spans="1:8" s="40" customFormat="1" ht="48">
      <c r="A1356" s="39">
        <f t="shared" si="21"/>
        <v>2</v>
      </c>
      <c r="B1356" s="39" t="s">
        <v>1385</v>
      </c>
      <c r="C1356" s="7" t="s">
        <v>1127</v>
      </c>
      <c r="D1356" s="8" t="s">
        <v>1</v>
      </c>
      <c r="E1356" s="25" t="s">
        <v>1127</v>
      </c>
      <c r="F1356" s="18"/>
      <c r="G1356" s="18"/>
      <c r="H1356" s="17"/>
    </row>
    <row r="1357" spans="1:8" s="40" customFormat="1" ht="12">
      <c r="A1357" s="39">
        <f t="shared" si="21"/>
        <v>2</v>
      </c>
      <c r="B1357" s="39" t="s">
        <v>1385</v>
      </c>
      <c r="C1357" s="7" t="s">
        <v>1127</v>
      </c>
      <c r="D1357" s="8" t="s">
        <v>637</v>
      </c>
      <c r="E1357" s="25" t="s">
        <v>1127</v>
      </c>
      <c r="F1357" s="18"/>
      <c r="G1357" s="18"/>
      <c r="H1357" s="17"/>
    </row>
    <row r="1358" spans="1:8" s="3" customFormat="1" ht="24">
      <c r="A1358" s="41">
        <f t="shared" si="21"/>
        <v>2</v>
      </c>
      <c r="B1358" s="41" t="s">
        <v>1386</v>
      </c>
      <c r="C1358" s="1" t="s">
        <v>1012</v>
      </c>
      <c r="D1358" s="2" t="s">
        <v>1327</v>
      </c>
      <c r="E1358" s="26" t="s">
        <v>1227</v>
      </c>
      <c r="F1358" s="19">
        <v>0</v>
      </c>
      <c r="G1358" s="19"/>
      <c r="H1358" s="17">
        <f>ROUND((P_2_107 Qté)*(P_2_107 PU),2)</f>
        <v>0</v>
      </c>
    </row>
    <row r="1359" spans="1:8" s="40" customFormat="1" ht="48">
      <c r="A1359" s="39">
        <f t="shared" si="21"/>
        <v>2</v>
      </c>
      <c r="B1359" s="39" t="s">
        <v>1385</v>
      </c>
      <c r="C1359" s="7" t="s">
        <v>1127</v>
      </c>
      <c r="D1359" s="8" t="s">
        <v>719</v>
      </c>
      <c r="E1359" s="25" t="s">
        <v>1127</v>
      </c>
      <c r="F1359" s="18"/>
      <c r="G1359" s="18"/>
      <c r="H1359" s="17"/>
    </row>
    <row r="1360" spans="1:8" s="40" customFormat="1" ht="24">
      <c r="A1360" s="39">
        <f t="shared" si="21"/>
        <v>2</v>
      </c>
      <c r="B1360" s="39" t="s">
        <v>1385</v>
      </c>
      <c r="C1360" s="7" t="s">
        <v>1127</v>
      </c>
      <c r="D1360" s="8" t="s">
        <v>539</v>
      </c>
      <c r="E1360" s="25" t="s">
        <v>1127</v>
      </c>
      <c r="F1360" s="18"/>
      <c r="G1360" s="18"/>
      <c r="H1360" s="17"/>
    </row>
    <row r="1361" spans="1:8" s="40" customFormat="1" ht="12">
      <c r="A1361" s="39">
        <f t="shared" si="21"/>
        <v>2</v>
      </c>
      <c r="B1361" s="39" t="s">
        <v>1385</v>
      </c>
      <c r="C1361" s="7" t="s">
        <v>1127</v>
      </c>
      <c r="D1361" s="8" t="s">
        <v>437</v>
      </c>
      <c r="E1361" s="25" t="s">
        <v>1127</v>
      </c>
      <c r="F1361" s="18"/>
      <c r="G1361" s="18"/>
      <c r="H1361" s="17"/>
    </row>
    <row r="1362" spans="1:8" s="40" customFormat="1" ht="12">
      <c r="A1362" s="39">
        <f t="shared" si="21"/>
        <v>2</v>
      </c>
      <c r="B1362" s="39" t="s">
        <v>1385</v>
      </c>
      <c r="C1362" s="7" t="s">
        <v>1127</v>
      </c>
      <c r="D1362" s="8" t="s">
        <v>428</v>
      </c>
      <c r="E1362" s="25" t="s">
        <v>1127</v>
      </c>
      <c r="F1362" s="18"/>
      <c r="G1362" s="18"/>
      <c r="H1362" s="17"/>
    </row>
    <row r="1363" spans="1:8" s="40" customFormat="1" ht="36">
      <c r="A1363" s="39">
        <f t="shared" si="21"/>
        <v>2</v>
      </c>
      <c r="B1363" s="39" t="s">
        <v>1385</v>
      </c>
      <c r="C1363" s="7" t="s">
        <v>1127</v>
      </c>
      <c r="D1363" s="8" t="s">
        <v>2</v>
      </c>
      <c r="E1363" s="25" t="s">
        <v>1127</v>
      </c>
      <c r="F1363" s="18"/>
      <c r="G1363" s="18"/>
      <c r="H1363" s="17"/>
    </row>
    <row r="1364" spans="1:8" s="40" customFormat="1" ht="36">
      <c r="A1364" s="39">
        <f t="shared" si="21"/>
        <v>2</v>
      </c>
      <c r="B1364" s="39" t="s">
        <v>1385</v>
      </c>
      <c r="C1364" s="7" t="s">
        <v>1127</v>
      </c>
      <c r="D1364" s="8" t="s">
        <v>439</v>
      </c>
      <c r="E1364" s="25" t="s">
        <v>1127</v>
      </c>
      <c r="F1364" s="18"/>
      <c r="G1364" s="18"/>
      <c r="H1364" s="17"/>
    </row>
    <row r="1365" spans="1:8" s="40" customFormat="1" ht="12">
      <c r="A1365" s="39">
        <f t="shared" si="21"/>
        <v>2</v>
      </c>
      <c r="B1365" s="39" t="s">
        <v>1385</v>
      </c>
      <c r="C1365" s="7" t="s">
        <v>1127</v>
      </c>
      <c r="D1365" s="8" t="s">
        <v>637</v>
      </c>
      <c r="E1365" s="25" t="s">
        <v>1127</v>
      </c>
      <c r="F1365" s="18"/>
      <c r="G1365" s="18"/>
      <c r="H1365" s="17"/>
    </row>
    <row r="1366" spans="1:8" s="40" customFormat="1" ht="24">
      <c r="A1366" s="39">
        <f t="shared" si="21"/>
        <v>2</v>
      </c>
      <c r="B1366" s="39" t="s">
        <v>1385</v>
      </c>
      <c r="C1366" s="7" t="s">
        <v>1013</v>
      </c>
      <c r="D1366" s="8" t="s">
        <v>1328</v>
      </c>
      <c r="E1366" s="25" t="s">
        <v>1127</v>
      </c>
      <c r="F1366" s="18"/>
      <c r="G1366" s="18"/>
      <c r="H1366" s="17"/>
    </row>
    <row r="1367" spans="1:8" s="40" customFormat="1" ht="36">
      <c r="A1367" s="39">
        <f t="shared" si="21"/>
        <v>2</v>
      </c>
      <c r="B1367" s="39" t="s">
        <v>1385</v>
      </c>
      <c r="C1367" s="7" t="s">
        <v>1127</v>
      </c>
      <c r="D1367" s="8" t="s">
        <v>720</v>
      </c>
      <c r="E1367" s="25" t="s">
        <v>1127</v>
      </c>
      <c r="F1367" s="18"/>
      <c r="G1367" s="18"/>
      <c r="H1367" s="17"/>
    </row>
    <row r="1368" spans="1:8" s="40" customFormat="1" ht="24">
      <c r="A1368" s="39">
        <f t="shared" si="21"/>
        <v>2</v>
      </c>
      <c r="B1368" s="39" t="s">
        <v>1385</v>
      </c>
      <c r="C1368" s="7" t="s">
        <v>1127</v>
      </c>
      <c r="D1368" s="8" t="s">
        <v>539</v>
      </c>
      <c r="E1368" s="25" t="s">
        <v>1127</v>
      </c>
      <c r="F1368" s="18"/>
      <c r="G1368" s="18"/>
      <c r="H1368" s="17"/>
    </row>
    <row r="1369" spans="1:8" s="40" customFormat="1" ht="12">
      <c r="A1369" s="39">
        <f t="shared" si="21"/>
        <v>2</v>
      </c>
      <c r="B1369" s="39" t="s">
        <v>1385</v>
      </c>
      <c r="C1369" s="7" t="s">
        <v>1127</v>
      </c>
      <c r="D1369" s="8" t="s">
        <v>437</v>
      </c>
      <c r="E1369" s="25" t="s">
        <v>1127</v>
      </c>
      <c r="F1369" s="18"/>
      <c r="G1369" s="18"/>
      <c r="H1369" s="17"/>
    </row>
    <row r="1370" spans="1:8" s="40" customFormat="1" ht="12">
      <c r="A1370" s="39">
        <f t="shared" si="21"/>
        <v>2</v>
      </c>
      <c r="B1370" s="39" t="s">
        <v>1385</v>
      </c>
      <c r="C1370" s="7" t="s">
        <v>1127</v>
      </c>
      <c r="D1370" s="8" t="s">
        <v>428</v>
      </c>
      <c r="E1370" s="25" t="s">
        <v>1127</v>
      </c>
      <c r="F1370" s="18"/>
      <c r="G1370" s="18"/>
      <c r="H1370" s="17"/>
    </row>
    <row r="1371" spans="1:8" s="40" customFormat="1" ht="24">
      <c r="A1371" s="39">
        <f t="shared" si="21"/>
        <v>2</v>
      </c>
      <c r="B1371" s="39" t="s">
        <v>1385</v>
      </c>
      <c r="C1371" s="7" t="s">
        <v>1127</v>
      </c>
      <c r="D1371" s="8" t="s">
        <v>3</v>
      </c>
      <c r="E1371" s="25" t="s">
        <v>1127</v>
      </c>
      <c r="F1371" s="18"/>
      <c r="G1371" s="18"/>
      <c r="H1371" s="17"/>
    </row>
    <row r="1372" spans="1:8" s="40" customFormat="1" ht="36">
      <c r="A1372" s="39">
        <f t="shared" si="21"/>
        <v>2</v>
      </c>
      <c r="B1372" s="39" t="s">
        <v>1385</v>
      </c>
      <c r="C1372" s="7" t="s">
        <v>1127</v>
      </c>
      <c r="D1372" s="8" t="s">
        <v>4</v>
      </c>
      <c r="E1372" s="25" t="s">
        <v>1127</v>
      </c>
      <c r="F1372" s="18"/>
      <c r="G1372" s="18"/>
      <c r="H1372" s="17"/>
    </row>
    <row r="1373" spans="1:8" s="40" customFormat="1" ht="12">
      <c r="A1373" s="39">
        <f t="shared" si="21"/>
        <v>2</v>
      </c>
      <c r="B1373" s="39" t="s">
        <v>1385</v>
      </c>
      <c r="C1373" s="7" t="s">
        <v>1127</v>
      </c>
      <c r="D1373" s="8" t="s">
        <v>637</v>
      </c>
      <c r="E1373" s="25" t="s">
        <v>1127</v>
      </c>
      <c r="F1373" s="18"/>
      <c r="G1373" s="18"/>
      <c r="H1373" s="17"/>
    </row>
    <row r="1374" spans="1:8" s="3" customFormat="1" ht="12">
      <c r="A1374" s="41">
        <f t="shared" si="21"/>
        <v>2</v>
      </c>
      <c r="B1374" s="41" t="s">
        <v>1386</v>
      </c>
      <c r="C1374" s="1" t="s">
        <v>1846</v>
      </c>
      <c r="D1374" s="2" t="s">
        <v>5</v>
      </c>
      <c r="E1374" s="26" t="s">
        <v>1227</v>
      </c>
      <c r="F1374" s="19">
        <v>0</v>
      </c>
      <c r="G1374" s="19"/>
      <c r="H1374" s="17">
        <f>ROUND((P_2_108.a Qté)*(P_2_108.a PU),2)</f>
        <v>0</v>
      </c>
    </row>
    <row r="1375" spans="1:8" s="3" customFormat="1" ht="12">
      <c r="A1375" s="41">
        <f t="shared" si="21"/>
        <v>2</v>
      </c>
      <c r="B1375" s="41" t="s">
        <v>1386</v>
      </c>
      <c r="C1375" s="1" t="s">
        <v>1293</v>
      </c>
      <c r="D1375" s="2" t="s">
        <v>6</v>
      </c>
      <c r="E1375" s="26" t="s">
        <v>1206</v>
      </c>
      <c r="F1375" s="19">
        <v>0</v>
      </c>
      <c r="G1375" s="19"/>
      <c r="H1375" s="17">
        <f>ROUND((P_2_108.b Qté)*(P_2_108.b PU),2)</f>
        <v>0</v>
      </c>
    </row>
    <row r="1376" spans="1:8" s="3" customFormat="1" ht="24">
      <c r="A1376" s="41">
        <f t="shared" si="21"/>
        <v>2</v>
      </c>
      <c r="B1376" s="41" t="s">
        <v>1386</v>
      </c>
      <c r="C1376" s="1" t="s">
        <v>1292</v>
      </c>
      <c r="D1376" s="2" t="s">
        <v>7</v>
      </c>
      <c r="E1376" s="26" t="s">
        <v>1174</v>
      </c>
      <c r="F1376" s="19">
        <v>0</v>
      </c>
      <c r="G1376" s="19"/>
      <c r="H1376" s="17">
        <f>ROUND((P_2_108.c Qté)*(P_2_108.c PU),2)</f>
        <v>0</v>
      </c>
    </row>
    <row r="1377" spans="1:8" s="3" customFormat="1" ht="24">
      <c r="A1377" s="41">
        <f t="shared" si="21"/>
        <v>2</v>
      </c>
      <c r="B1377" s="41" t="s">
        <v>1386</v>
      </c>
      <c r="C1377" s="1" t="s">
        <v>1291</v>
      </c>
      <c r="D1377" s="2" t="s">
        <v>8</v>
      </c>
      <c r="E1377" s="26" t="s">
        <v>1174</v>
      </c>
      <c r="F1377" s="19">
        <v>0</v>
      </c>
      <c r="G1377" s="19"/>
      <c r="H1377" s="17">
        <f>ROUND((P_2_108.d Qté)*(P_2_108.d PU),2)</f>
        <v>0</v>
      </c>
    </row>
    <row r="1378" spans="1:8" s="40" customFormat="1" ht="36">
      <c r="A1378" s="39">
        <f t="shared" si="21"/>
        <v>2</v>
      </c>
      <c r="B1378" s="39" t="s">
        <v>1385</v>
      </c>
      <c r="C1378" s="7" t="s">
        <v>1014</v>
      </c>
      <c r="D1378" s="8" t="s">
        <v>1329</v>
      </c>
      <c r="E1378" s="25" t="s">
        <v>1127</v>
      </c>
      <c r="F1378" s="18"/>
      <c r="G1378" s="18"/>
      <c r="H1378" s="17"/>
    </row>
    <row r="1379" spans="1:8" s="40" customFormat="1" ht="24">
      <c r="A1379" s="39">
        <f t="shared" si="21"/>
        <v>2</v>
      </c>
      <c r="B1379" s="39" t="s">
        <v>1385</v>
      </c>
      <c r="C1379" s="7" t="s">
        <v>1127</v>
      </c>
      <c r="D1379" s="8" t="s">
        <v>721</v>
      </c>
      <c r="E1379" s="25" t="s">
        <v>1127</v>
      </c>
      <c r="F1379" s="18"/>
      <c r="G1379" s="18"/>
      <c r="H1379" s="17"/>
    </row>
    <row r="1380" spans="1:8" s="40" customFormat="1" ht="24">
      <c r="A1380" s="39">
        <f t="shared" si="21"/>
        <v>2</v>
      </c>
      <c r="B1380" s="39" t="s">
        <v>1385</v>
      </c>
      <c r="C1380" s="7" t="s">
        <v>1127</v>
      </c>
      <c r="D1380" s="8" t="s">
        <v>539</v>
      </c>
      <c r="E1380" s="25" t="s">
        <v>1127</v>
      </c>
      <c r="F1380" s="18"/>
      <c r="G1380" s="18"/>
      <c r="H1380" s="17"/>
    </row>
    <row r="1381" spans="1:8" s="40" customFormat="1" ht="12">
      <c r="A1381" s="39">
        <f t="shared" si="21"/>
        <v>2</v>
      </c>
      <c r="B1381" s="39" t="s">
        <v>1385</v>
      </c>
      <c r="C1381" s="7" t="s">
        <v>1127</v>
      </c>
      <c r="D1381" s="8" t="s">
        <v>437</v>
      </c>
      <c r="E1381" s="25" t="s">
        <v>1127</v>
      </c>
      <c r="F1381" s="18"/>
      <c r="G1381" s="18"/>
      <c r="H1381" s="17"/>
    </row>
    <row r="1382" spans="1:8" s="40" customFormat="1" ht="12">
      <c r="A1382" s="39">
        <f t="shared" si="21"/>
        <v>2</v>
      </c>
      <c r="B1382" s="39" t="s">
        <v>1385</v>
      </c>
      <c r="C1382" s="7" t="s">
        <v>1127</v>
      </c>
      <c r="D1382" s="8" t="s">
        <v>428</v>
      </c>
      <c r="E1382" s="25" t="s">
        <v>1127</v>
      </c>
      <c r="F1382" s="18"/>
      <c r="G1382" s="18"/>
      <c r="H1382" s="17"/>
    </row>
    <row r="1383" spans="1:8" s="40" customFormat="1" ht="24">
      <c r="A1383" s="39">
        <f t="shared" si="21"/>
        <v>2</v>
      </c>
      <c r="B1383" s="39" t="s">
        <v>1385</v>
      </c>
      <c r="C1383" s="7" t="s">
        <v>1127</v>
      </c>
      <c r="D1383" s="8" t="s">
        <v>9</v>
      </c>
      <c r="E1383" s="25" t="s">
        <v>1127</v>
      </c>
      <c r="F1383" s="18"/>
      <c r="G1383" s="18"/>
      <c r="H1383" s="17"/>
    </row>
    <row r="1384" spans="1:8" s="40" customFormat="1" ht="36">
      <c r="A1384" s="39">
        <f t="shared" si="21"/>
        <v>2</v>
      </c>
      <c r="B1384" s="39" t="s">
        <v>1385</v>
      </c>
      <c r="C1384" s="7" t="s">
        <v>1127</v>
      </c>
      <c r="D1384" s="8" t="s">
        <v>4</v>
      </c>
      <c r="E1384" s="25" t="s">
        <v>1127</v>
      </c>
      <c r="F1384" s="18"/>
      <c r="G1384" s="18"/>
      <c r="H1384" s="17"/>
    </row>
    <row r="1385" spans="1:8" s="40" customFormat="1" ht="12">
      <c r="A1385" s="39">
        <f t="shared" si="21"/>
        <v>2</v>
      </c>
      <c r="B1385" s="39" t="s">
        <v>1385</v>
      </c>
      <c r="C1385" s="7" t="s">
        <v>1127</v>
      </c>
      <c r="D1385" s="8" t="s">
        <v>637</v>
      </c>
      <c r="E1385" s="25" t="s">
        <v>1127</v>
      </c>
      <c r="F1385" s="18"/>
      <c r="G1385" s="18"/>
      <c r="H1385" s="17"/>
    </row>
    <row r="1386" spans="1:8" s="3" customFormat="1" ht="12">
      <c r="A1386" s="41">
        <f t="shared" si="21"/>
        <v>2</v>
      </c>
      <c r="B1386" s="41" t="s">
        <v>1386</v>
      </c>
      <c r="C1386" s="1" t="s">
        <v>1847</v>
      </c>
      <c r="D1386" s="2" t="s">
        <v>1446</v>
      </c>
      <c r="E1386" s="26" t="s">
        <v>1227</v>
      </c>
      <c r="F1386" s="19">
        <v>0</v>
      </c>
      <c r="G1386" s="19"/>
      <c r="H1386" s="17">
        <f>ROUND((P_2_109.a Qté)*(P_2_109.a PU),2)</f>
        <v>0</v>
      </c>
    </row>
    <row r="1387" spans="1:8" s="3" customFormat="1" ht="12">
      <c r="A1387" s="41">
        <f t="shared" si="21"/>
        <v>2</v>
      </c>
      <c r="B1387" s="41" t="s">
        <v>1386</v>
      </c>
      <c r="C1387" s="1" t="s">
        <v>1848</v>
      </c>
      <c r="D1387" s="2" t="s">
        <v>1447</v>
      </c>
      <c r="E1387" s="26" t="s">
        <v>1227</v>
      </c>
      <c r="F1387" s="19">
        <v>0</v>
      </c>
      <c r="G1387" s="19"/>
      <c r="H1387" s="17">
        <f>ROUND((P_2_109.b Qté)*(P_2_109.b PU),2)</f>
        <v>0</v>
      </c>
    </row>
    <row r="1388" spans="1:8" s="40" customFormat="1" ht="24">
      <c r="A1388" s="39">
        <f t="shared" si="21"/>
        <v>2</v>
      </c>
      <c r="B1388" s="39" t="s">
        <v>1385</v>
      </c>
      <c r="C1388" s="7" t="s">
        <v>1015</v>
      </c>
      <c r="D1388" s="8" t="s">
        <v>722</v>
      </c>
      <c r="E1388" s="25" t="s">
        <v>1127</v>
      </c>
      <c r="F1388" s="18"/>
      <c r="G1388" s="18"/>
      <c r="H1388" s="17"/>
    </row>
    <row r="1389" spans="1:8" s="40" customFormat="1" ht="36">
      <c r="A1389" s="39">
        <f t="shared" si="21"/>
        <v>2</v>
      </c>
      <c r="B1389" s="39" t="s">
        <v>1385</v>
      </c>
      <c r="C1389" s="7" t="s">
        <v>1127</v>
      </c>
      <c r="D1389" s="8" t="s">
        <v>1444</v>
      </c>
      <c r="E1389" s="25" t="s">
        <v>1127</v>
      </c>
      <c r="F1389" s="18"/>
      <c r="G1389" s="18"/>
      <c r="H1389" s="17"/>
    </row>
    <row r="1390" spans="1:8" s="40" customFormat="1" ht="12">
      <c r="A1390" s="39">
        <f t="shared" si="21"/>
        <v>2</v>
      </c>
      <c r="B1390" s="39" t="s">
        <v>1385</v>
      </c>
      <c r="C1390" s="7" t="s">
        <v>1127</v>
      </c>
      <c r="D1390" s="8" t="s">
        <v>10</v>
      </c>
      <c r="E1390" s="25" t="s">
        <v>1127</v>
      </c>
      <c r="F1390" s="18"/>
      <c r="G1390" s="18"/>
      <c r="H1390" s="17"/>
    </row>
    <row r="1391" spans="1:8" s="40" customFormat="1" ht="12">
      <c r="A1391" s="39">
        <f t="shared" si="21"/>
        <v>2</v>
      </c>
      <c r="B1391" s="39" t="s">
        <v>1385</v>
      </c>
      <c r="C1391" s="7" t="s">
        <v>1127</v>
      </c>
      <c r="D1391" s="8" t="s">
        <v>428</v>
      </c>
      <c r="E1391" s="25" t="s">
        <v>1127</v>
      </c>
      <c r="F1391" s="18"/>
      <c r="G1391" s="18"/>
      <c r="H1391" s="17"/>
    </row>
    <row r="1392" spans="1:8" s="40" customFormat="1" ht="24">
      <c r="A1392" s="39">
        <f aca="true" t="shared" si="22" ref="A1392:A1455">A1391</f>
        <v>2</v>
      </c>
      <c r="B1392" s="39" t="s">
        <v>1385</v>
      </c>
      <c r="C1392" s="7" t="s">
        <v>1127</v>
      </c>
      <c r="D1392" s="8" t="s">
        <v>9</v>
      </c>
      <c r="E1392" s="25" t="s">
        <v>1127</v>
      </c>
      <c r="F1392" s="18"/>
      <c r="G1392" s="18"/>
      <c r="H1392" s="17"/>
    </row>
    <row r="1393" spans="1:8" s="40" customFormat="1" ht="12">
      <c r="A1393" s="39">
        <f t="shared" si="22"/>
        <v>2</v>
      </c>
      <c r="B1393" s="39" t="s">
        <v>1385</v>
      </c>
      <c r="C1393" s="7" t="s">
        <v>1127</v>
      </c>
      <c r="D1393" s="8" t="s">
        <v>11</v>
      </c>
      <c r="E1393" s="25" t="s">
        <v>1127</v>
      </c>
      <c r="F1393" s="18"/>
      <c r="G1393" s="18"/>
      <c r="H1393" s="17"/>
    </row>
    <row r="1394" spans="1:8" s="40" customFormat="1" ht="12">
      <c r="A1394" s="39">
        <f t="shared" si="22"/>
        <v>2</v>
      </c>
      <c r="B1394" s="39" t="s">
        <v>1385</v>
      </c>
      <c r="C1394" s="7" t="s">
        <v>1127</v>
      </c>
      <c r="D1394" s="8" t="s">
        <v>12</v>
      </c>
      <c r="E1394" s="25" t="s">
        <v>1127</v>
      </c>
      <c r="F1394" s="18"/>
      <c r="G1394" s="18"/>
      <c r="H1394" s="17"/>
    </row>
    <row r="1395" spans="1:8" s="40" customFormat="1" ht="12">
      <c r="A1395" s="39">
        <f t="shared" si="22"/>
        <v>2</v>
      </c>
      <c r="B1395" s="39" t="s">
        <v>1385</v>
      </c>
      <c r="C1395" s="7" t="s">
        <v>1127</v>
      </c>
      <c r="D1395" s="8" t="s">
        <v>637</v>
      </c>
      <c r="E1395" s="25" t="s">
        <v>1127</v>
      </c>
      <c r="F1395" s="18"/>
      <c r="G1395" s="18"/>
      <c r="H1395" s="17"/>
    </row>
    <row r="1396" spans="1:8" s="3" customFormat="1" ht="12">
      <c r="A1396" s="41">
        <f t="shared" si="22"/>
        <v>2</v>
      </c>
      <c r="B1396" s="41" t="s">
        <v>1386</v>
      </c>
      <c r="C1396" s="1" t="s">
        <v>1849</v>
      </c>
      <c r="D1396" s="2" t="s">
        <v>1448</v>
      </c>
      <c r="E1396" s="26" t="s">
        <v>1227</v>
      </c>
      <c r="F1396" s="19">
        <v>0</v>
      </c>
      <c r="G1396" s="19"/>
      <c r="H1396" s="17">
        <f>ROUND((P_2_110.a Qté)*(P_2_110.a PU),2)</f>
        <v>0</v>
      </c>
    </row>
    <row r="1397" spans="1:8" s="3" customFormat="1" ht="12">
      <c r="A1397" s="41">
        <f t="shared" si="22"/>
        <v>2</v>
      </c>
      <c r="B1397" s="41" t="s">
        <v>1386</v>
      </c>
      <c r="C1397" s="1" t="s">
        <v>1850</v>
      </c>
      <c r="D1397" s="2" t="s">
        <v>1449</v>
      </c>
      <c r="E1397" s="26" t="s">
        <v>1227</v>
      </c>
      <c r="F1397" s="19">
        <v>0</v>
      </c>
      <c r="G1397" s="19"/>
      <c r="H1397" s="17">
        <f>ROUND((P_2_110.b Qté)*(P_2_110.b PU),2)</f>
        <v>0</v>
      </c>
    </row>
    <row r="1398" spans="1:8" s="3" customFormat="1" ht="12">
      <c r="A1398" s="41">
        <f t="shared" si="22"/>
        <v>2</v>
      </c>
      <c r="B1398" s="41" t="s">
        <v>1386</v>
      </c>
      <c r="C1398" s="1" t="s">
        <v>1379</v>
      </c>
      <c r="D1398" s="2" t="s">
        <v>1450</v>
      </c>
      <c r="E1398" s="26" t="s">
        <v>1227</v>
      </c>
      <c r="F1398" s="19">
        <v>0</v>
      </c>
      <c r="G1398" s="19"/>
      <c r="H1398" s="17">
        <f>ROUND((P_2_110.c Qté)*(P_2_110.c PU),2)</f>
        <v>0</v>
      </c>
    </row>
    <row r="1399" spans="1:8" s="3" customFormat="1" ht="12">
      <c r="A1399" s="41">
        <f t="shared" si="22"/>
        <v>2</v>
      </c>
      <c r="B1399" s="41" t="s">
        <v>1386</v>
      </c>
      <c r="C1399" s="1" t="s">
        <v>1380</v>
      </c>
      <c r="D1399" s="2" t="s">
        <v>1451</v>
      </c>
      <c r="E1399" s="26" t="s">
        <v>1227</v>
      </c>
      <c r="F1399" s="19">
        <v>0</v>
      </c>
      <c r="G1399" s="19"/>
      <c r="H1399" s="17">
        <f>ROUND((P_2_110.d Qté)*(P_2_110.d PU),2)</f>
        <v>0</v>
      </c>
    </row>
    <row r="1400" spans="1:8" s="3" customFormat="1" ht="12">
      <c r="A1400" s="41">
        <f t="shared" si="22"/>
        <v>2</v>
      </c>
      <c r="B1400" s="41" t="s">
        <v>1386</v>
      </c>
      <c r="C1400" s="1" t="s">
        <v>1381</v>
      </c>
      <c r="D1400" s="2" t="s">
        <v>1452</v>
      </c>
      <c r="E1400" s="26" t="s">
        <v>1227</v>
      </c>
      <c r="F1400" s="19">
        <v>0</v>
      </c>
      <c r="G1400" s="19"/>
      <c r="H1400" s="17">
        <f>ROUND((P_2_110.e Qté)*(P_2_110.e PU),2)</f>
        <v>0</v>
      </c>
    </row>
    <row r="1401" spans="1:8" s="3" customFormat="1" ht="12">
      <c r="A1401" s="41">
        <f t="shared" si="22"/>
        <v>2</v>
      </c>
      <c r="B1401" s="41" t="s">
        <v>1386</v>
      </c>
      <c r="C1401" s="1" t="s">
        <v>1382</v>
      </c>
      <c r="D1401" s="2" t="s">
        <v>1453</v>
      </c>
      <c r="E1401" s="26" t="s">
        <v>1227</v>
      </c>
      <c r="F1401" s="19">
        <v>0</v>
      </c>
      <c r="G1401" s="19"/>
      <c r="H1401" s="17">
        <f>ROUND((P_2_110.f Qté)*(P_2_110.f PU),2)</f>
        <v>0</v>
      </c>
    </row>
    <row r="1402" spans="1:8" s="40" customFormat="1" ht="24">
      <c r="A1402" s="39">
        <f t="shared" si="22"/>
        <v>2</v>
      </c>
      <c r="B1402" s="39" t="s">
        <v>1385</v>
      </c>
      <c r="C1402" s="7" t="s">
        <v>1016</v>
      </c>
      <c r="D1402" s="8" t="s">
        <v>1330</v>
      </c>
      <c r="E1402" s="25" t="s">
        <v>1127</v>
      </c>
      <c r="F1402" s="18"/>
      <c r="G1402" s="18"/>
      <c r="H1402" s="17"/>
    </row>
    <row r="1403" spans="1:8" s="40" customFormat="1" ht="72">
      <c r="A1403" s="39">
        <f t="shared" si="22"/>
        <v>2</v>
      </c>
      <c r="B1403" s="39" t="s">
        <v>1385</v>
      </c>
      <c r="C1403" s="7" t="s">
        <v>1127</v>
      </c>
      <c r="D1403" s="8" t="s">
        <v>1331</v>
      </c>
      <c r="E1403" s="25" t="s">
        <v>1127</v>
      </c>
      <c r="F1403" s="18"/>
      <c r="G1403" s="18"/>
      <c r="H1403" s="17"/>
    </row>
    <row r="1404" spans="1:8" s="40" customFormat="1" ht="12">
      <c r="A1404" s="39">
        <f t="shared" si="22"/>
        <v>2</v>
      </c>
      <c r="B1404" s="39" t="s">
        <v>1385</v>
      </c>
      <c r="C1404" s="7" t="s">
        <v>1127</v>
      </c>
      <c r="D1404" s="8" t="s">
        <v>1454</v>
      </c>
      <c r="E1404" s="25" t="s">
        <v>1127</v>
      </c>
      <c r="F1404" s="18"/>
      <c r="G1404" s="18"/>
      <c r="H1404" s="17"/>
    </row>
    <row r="1405" spans="1:8" s="40" customFormat="1" ht="12">
      <c r="A1405" s="39">
        <f t="shared" si="22"/>
        <v>2</v>
      </c>
      <c r="B1405" s="39" t="s">
        <v>1385</v>
      </c>
      <c r="C1405" s="7" t="s">
        <v>1127</v>
      </c>
      <c r="D1405" s="8" t="s">
        <v>13</v>
      </c>
      <c r="E1405" s="25" t="s">
        <v>1127</v>
      </c>
      <c r="F1405" s="18"/>
      <c r="G1405" s="18"/>
      <c r="H1405" s="17"/>
    </row>
    <row r="1406" spans="1:8" s="40" customFormat="1" ht="24">
      <c r="A1406" s="39">
        <f t="shared" si="22"/>
        <v>2</v>
      </c>
      <c r="B1406" s="39" t="s">
        <v>1385</v>
      </c>
      <c r="C1406" s="7" t="s">
        <v>1127</v>
      </c>
      <c r="D1406" s="8" t="s">
        <v>14</v>
      </c>
      <c r="E1406" s="25" t="s">
        <v>1127</v>
      </c>
      <c r="F1406" s="18"/>
      <c r="G1406" s="18"/>
      <c r="H1406" s="17"/>
    </row>
    <row r="1407" spans="1:8" s="40" customFormat="1" ht="24">
      <c r="A1407" s="39">
        <f t="shared" si="22"/>
        <v>2</v>
      </c>
      <c r="B1407" s="39" t="s">
        <v>1385</v>
      </c>
      <c r="C1407" s="7" t="s">
        <v>1127</v>
      </c>
      <c r="D1407" s="8" t="s">
        <v>15</v>
      </c>
      <c r="E1407" s="25" t="s">
        <v>1127</v>
      </c>
      <c r="F1407" s="18"/>
      <c r="G1407" s="18"/>
      <c r="H1407" s="17"/>
    </row>
    <row r="1408" spans="1:8" s="40" customFormat="1" ht="12">
      <c r="A1408" s="39">
        <f t="shared" si="22"/>
        <v>2</v>
      </c>
      <c r="B1408" s="39" t="s">
        <v>1385</v>
      </c>
      <c r="C1408" s="7" t="s">
        <v>1127</v>
      </c>
      <c r="D1408" s="8" t="s">
        <v>16</v>
      </c>
      <c r="E1408" s="25" t="s">
        <v>1127</v>
      </c>
      <c r="F1408" s="18"/>
      <c r="G1408" s="18"/>
      <c r="H1408" s="17"/>
    </row>
    <row r="1409" spans="1:8" s="40" customFormat="1" ht="24">
      <c r="A1409" s="39">
        <f t="shared" si="22"/>
        <v>2</v>
      </c>
      <c r="B1409" s="39" t="s">
        <v>1385</v>
      </c>
      <c r="C1409" s="7" t="s">
        <v>1127</v>
      </c>
      <c r="D1409" s="8" t="s">
        <v>17</v>
      </c>
      <c r="E1409" s="25" t="s">
        <v>1127</v>
      </c>
      <c r="F1409" s="18"/>
      <c r="G1409" s="18"/>
      <c r="H1409" s="17"/>
    </row>
    <row r="1410" spans="1:8" s="40" customFormat="1" ht="24">
      <c r="A1410" s="39">
        <f t="shared" si="22"/>
        <v>2</v>
      </c>
      <c r="B1410" s="39" t="s">
        <v>1385</v>
      </c>
      <c r="C1410" s="7" t="s">
        <v>1127</v>
      </c>
      <c r="D1410" s="8" t="s">
        <v>1455</v>
      </c>
      <c r="E1410" s="25" t="s">
        <v>1127</v>
      </c>
      <c r="F1410" s="18"/>
      <c r="G1410" s="18"/>
      <c r="H1410" s="17"/>
    </row>
    <row r="1411" spans="1:8" s="40" customFormat="1" ht="12">
      <c r="A1411" s="39">
        <f t="shared" si="22"/>
        <v>2</v>
      </c>
      <c r="B1411" s="39" t="s">
        <v>1385</v>
      </c>
      <c r="C1411" s="7" t="s">
        <v>1127</v>
      </c>
      <c r="D1411" s="8" t="s">
        <v>637</v>
      </c>
      <c r="E1411" s="25" t="s">
        <v>1127</v>
      </c>
      <c r="F1411" s="18"/>
      <c r="G1411" s="18"/>
      <c r="H1411" s="17"/>
    </row>
    <row r="1412" spans="1:8" s="3" customFormat="1" ht="12">
      <c r="A1412" s="41">
        <f t="shared" si="22"/>
        <v>2</v>
      </c>
      <c r="B1412" s="41" t="s">
        <v>1386</v>
      </c>
      <c r="C1412" s="1" t="s">
        <v>1851</v>
      </c>
      <c r="D1412" s="2" t="s">
        <v>1456</v>
      </c>
      <c r="E1412" s="26" t="s">
        <v>1227</v>
      </c>
      <c r="F1412" s="19">
        <v>0</v>
      </c>
      <c r="G1412" s="19"/>
      <c r="H1412" s="17">
        <f>ROUND((P_2_111.a Qté)*(P_2_111.a PU),2)</f>
        <v>0</v>
      </c>
    </row>
    <row r="1413" spans="1:8" s="40" customFormat="1" ht="12">
      <c r="A1413" s="39">
        <f t="shared" si="22"/>
        <v>2</v>
      </c>
      <c r="B1413" s="39" t="s">
        <v>1385</v>
      </c>
      <c r="C1413" s="7" t="s">
        <v>1127</v>
      </c>
      <c r="D1413" s="8" t="s">
        <v>723</v>
      </c>
      <c r="E1413" s="25" t="s">
        <v>1127</v>
      </c>
      <c r="F1413" s="18"/>
      <c r="G1413" s="18"/>
      <c r="H1413" s="17"/>
    </row>
    <row r="1414" spans="1:8" s="3" customFormat="1" ht="12">
      <c r="A1414" s="41">
        <f t="shared" si="22"/>
        <v>2</v>
      </c>
      <c r="B1414" s="41" t="s">
        <v>1386</v>
      </c>
      <c r="C1414" s="1" t="s">
        <v>1017</v>
      </c>
      <c r="D1414" s="2" t="s">
        <v>724</v>
      </c>
      <c r="E1414" s="26" t="s">
        <v>1206</v>
      </c>
      <c r="F1414" s="19">
        <v>0</v>
      </c>
      <c r="G1414" s="19"/>
      <c r="H1414" s="17">
        <f>ROUND((P_2_112 Qté)*(P_2_112 PU),2)</f>
        <v>0</v>
      </c>
    </row>
    <row r="1415" spans="1:8" s="3" customFormat="1" ht="12">
      <c r="A1415" s="41">
        <f t="shared" si="22"/>
        <v>2</v>
      </c>
      <c r="B1415" s="41" t="s">
        <v>1386</v>
      </c>
      <c r="C1415" s="1" t="s">
        <v>1018</v>
      </c>
      <c r="D1415" s="2" t="s">
        <v>725</v>
      </c>
      <c r="E1415" s="26" t="s">
        <v>1206</v>
      </c>
      <c r="F1415" s="19">
        <v>0</v>
      </c>
      <c r="G1415" s="19"/>
      <c r="H1415" s="17">
        <f>ROUND((P_2_113 Qté)*(P_2_113 PU),2)</f>
        <v>0</v>
      </c>
    </row>
    <row r="1416" spans="1:8" s="3" customFormat="1" ht="36">
      <c r="A1416" s="41">
        <f t="shared" si="22"/>
        <v>2</v>
      </c>
      <c r="B1416" s="41" t="s">
        <v>1386</v>
      </c>
      <c r="C1416" s="1" t="s">
        <v>1019</v>
      </c>
      <c r="D1416" s="2" t="s">
        <v>726</v>
      </c>
      <c r="E1416" s="26" t="s">
        <v>1213</v>
      </c>
      <c r="F1416" s="19">
        <v>0</v>
      </c>
      <c r="G1416" s="19"/>
      <c r="H1416" s="17">
        <f>ROUND((P_2_114 Qté)*(P_2_114 PU),2)</f>
        <v>0</v>
      </c>
    </row>
    <row r="1417" spans="1:8" s="3" customFormat="1" ht="24">
      <c r="A1417" s="41">
        <f t="shared" si="22"/>
        <v>2</v>
      </c>
      <c r="B1417" s="41" t="s">
        <v>1386</v>
      </c>
      <c r="C1417" s="1" t="s">
        <v>1020</v>
      </c>
      <c r="D1417" s="2" t="s">
        <v>1852</v>
      </c>
      <c r="E1417" s="26" t="s">
        <v>1174</v>
      </c>
      <c r="F1417" s="19">
        <v>0</v>
      </c>
      <c r="G1417" s="19"/>
      <c r="H1417" s="17">
        <f>ROUND((P_2_115 Qté)*(P_2_115 PU),2)</f>
        <v>0</v>
      </c>
    </row>
    <row r="1418" spans="1:8" s="40" customFormat="1" ht="48">
      <c r="A1418" s="39">
        <f t="shared" si="22"/>
        <v>2</v>
      </c>
      <c r="B1418" s="39" t="s">
        <v>1385</v>
      </c>
      <c r="C1418" s="7" t="s">
        <v>1021</v>
      </c>
      <c r="D1418" s="8" t="s">
        <v>1332</v>
      </c>
      <c r="E1418" s="25" t="s">
        <v>1127</v>
      </c>
      <c r="F1418" s="18"/>
      <c r="G1418" s="18"/>
      <c r="H1418" s="17"/>
    </row>
    <row r="1419" spans="1:8" s="3" customFormat="1" ht="12">
      <c r="A1419" s="41">
        <f t="shared" si="22"/>
        <v>2</v>
      </c>
      <c r="B1419" s="41" t="s">
        <v>1386</v>
      </c>
      <c r="C1419" s="1" t="s">
        <v>1853</v>
      </c>
      <c r="D1419" s="2" t="s">
        <v>727</v>
      </c>
      <c r="E1419" s="26" t="s">
        <v>1174</v>
      </c>
      <c r="F1419" s="19">
        <v>0</v>
      </c>
      <c r="G1419" s="19"/>
      <c r="H1419" s="17">
        <f>ROUND((P_2_116.a Qté)*(P_2_116.a PU),2)</f>
        <v>0</v>
      </c>
    </row>
    <row r="1420" spans="1:8" s="3" customFormat="1" ht="12">
      <c r="A1420" s="41">
        <f t="shared" si="22"/>
        <v>2</v>
      </c>
      <c r="B1420" s="41" t="s">
        <v>1386</v>
      </c>
      <c r="C1420" s="1" t="s">
        <v>1022</v>
      </c>
      <c r="D1420" s="2" t="s">
        <v>728</v>
      </c>
      <c r="E1420" s="26" t="s">
        <v>1206</v>
      </c>
      <c r="F1420" s="19">
        <v>0</v>
      </c>
      <c r="G1420" s="19"/>
      <c r="H1420" s="17">
        <f>ROUND((P_2_117 Qté)*(P_2_117 PU),2)</f>
        <v>0</v>
      </c>
    </row>
    <row r="1421" spans="1:8" s="40" customFormat="1" ht="24">
      <c r="A1421" s="39">
        <f t="shared" si="22"/>
        <v>2</v>
      </c>
      <c r="B1421" s="39" t="s">
        <v>1385</v>
      </c>
      <c r="C1421" s="7" t="s">
        <v>1127</v>
      </c>
      <c r="D1421" s="8" t="s">
        <v>1854</v>
      </c>
      <c r="E1421" s="25" t="s">
        <v>1127</v>
      </c>
      <c r="F1421" s="18"/>
      <c r="G1421" s="18"/>
      <c r="H1421" s="17"/>
    </row>
    <row r="1422" spans="1:8" s="40" customFormat="1" ht="12">
      <c r="A1422" s="39">
        <f t="shared" si="22"/>
        <v>2</v>
      </c>
      <c r="B1422" s="39" t="s">
        <v>1385</v>
      </c>
      <c r="C1422" s="7" t="s">
        <v>1127</v>
      </c>
      <c r="D1422" s="8" t="s">
        <v>1855</v>
      </c>
      <c r="E1422" s="25" t="s">
        <v>1127</v>
      </c>
      <c r="F1422" s="18"/>
      <c r="G1422" s="18"/>
      <c r="H1422" s="17"/>
    </row>
    <row r="1423" spans="1:8" s="40" customFormat="1" ht="36">
      <c r="A1423" s="39">
        <f t="shared" si="22"/>
        <v>2</v>
      </c>
      <c r="B1423" s="39" t="s">
        <v>1385</v>
      </c>
      <c r="C1423" s="7" t="s">
        <v>1127</v>
      </c>
      <c r="D1423" s="8" t="s">
        <v>1856</v>
      </c>
      <c r="E1423" s="25" t="s">
        <v>1127</v>
      </c>
      <c r="F1423" s="18"/>
      <c r="G1423" s="18"/>
      <c r="H1423" s="17"/>
    </row>
    <row r="1424" spans="1:8" s="40" customFormat="1" ht="12">
      <c r="A1424" s="39">
        <f t="shared" si="22"/>
        <v>2</v>
      </c>
      <c r="B1424" s="39" t="s">
        <v>1385</v>
      </c>
      <c r="C1424" s="7" t="s">
        <v>1127</v>
      </c>
      <c r="D1424" s="8" t="s">
        <v>729</v>
      </c>
      <c r="E1424" s="25" t="s">
        <v>1127</v>
      </c>
      <c r="F1424" s="18"/>
      <c r="G1424" s="18"/>
      <c r="H1424" s="17"/>
    </row>
    <row r="1425" spans="1:8" s="40" customFormat="1" ht="24">
      <c r="A1425" s="39">
        <f t="shared" si="22"/>
        <v>2</v>
      </c>
      <c r="B1425" s="39" t="s">
        <v>1385</v>
      </c>
      <c r="C1425" s="7" t="s">
        <v>1127</v>
      </c>
      <c r="D1425" s="8" t="s">
        <v>1408</v>
      </c>
      <c r="E1425" s="25" t="s">
        <v>1127</v>
      </c>
      <c r="F1425" s="18"/>
      <c r="G1425" s="18"/>
      <c r="H1425" s="17"/>
    </row>
    <row r="1426" spans="1:8" s="40" customFormat="1" ht="24">
      <c r="A1426" s="39">
        <f t="shared" si="22"/>
        <v>2</v>
      </c>
      <c r="B1426" s="39" t="s">
        <v>1385</v>
      </c>
      <c r="C1426" s="7" t="s">
        <v>1127</v>
      </c>
      <c r="D1426" s="8" t="s">
        <v>1409</v>
      </c>
      <c r="E1426" s="25" t="s">
        <v>1127</v>
      </c>
      <c r="F1426" s="18"/>
      <c r="G1426" s="18"/>
      <c r="H1426" s="17"/>
    </row>
    <row r="1427" spans="1:8" s="40" customFormat="1" ht="24">
      <c r="A1427" s="39">
        <f t="shared" si="22"/>
        <v>2</v>
      </c>
      <c r="B1427" s="39" t="s">
        <v>1385</v>
      </c>
      <c r="C1427" s="7" t="s">
        <v>1127</v>
      </c>
      <c r="D1427" s="8" t="s">
        <v>1407</v>
      </c>
      <c r="E1427" s="25" t="s">
        <v>1127</v>
      </c>
      <c r="F1427" s="18"/>
      <c r="G1427" s="18"/>
      <c r="H1427" s="17"/>
    </row>
    <row r="1428" spans="1:8" s="40" customFormat="1" ht="12">
      <c r="A1428" s="39">
        <f t="shared" si="22"/>
        <v>2</v>
      </c>
      <c r="B1428" s="39" t="s">
        <v>1385</v>
      </c>
      <c r="C1428" s="7" t="s">
        <v>1127</v>
      </c>
      <c r="D1428" s="8" t="s">
        <v>1406</v>
      </c>
      <c r="E1428" s="25" t="s">
        <v>1127</v>
      </c>
      <c r="F1428" s="18"/>
      <c r="G1428" s="18"/>
      <c r="H1428" s="17"/>
    </row>
    <row r="1429" spans="1:8" s="40" customFormat="1" ht="24">
      <c r="A1429" s="39">
        <f t="shared" si="22"/>
        <v>2</v>
      </c>
      <c r="B1429" s="39" t="s">
        <v>1385</v>
      </c>
      <c r="C1429" s="7" t="s">
        <v>1127</v>
      </c>
      <c r="D1429" s="8" t="s">
        <v>1405</v>
      </c>
      <c r="E1429" s="25" t="s">
        <v>1127</v>
      </c>
      <c r="F1429" s="18"/>
      <c r="G1429" s="18"/>
      <c r="H1429" s="17"/>
    </row>
    <row r="1430" spans="1:8" s="40" customFormat="1" ht="12">
      <c r="A1430" s="39">
        <f t="shared" si="22"/>
        <v>2</v>
      </c>
      <c r="B1430" s="39" t="s">
        <v>1385</v>
      </c>
      <c r="C1430" s="7" t="s">
        <v>1127</v>
      </c>
      <c r="D1430" s="8" t="s">
        <v>1404</v>
      </c>
      <c r="E1430" s="25" t="s">
        <v>1127</v>
      </c>
      <c r="F1430" s="18"/>
      <c r="G1430" s="18"/>
      <c r="H1430" s="17"/>
    </row>
    <row r="1431" spans="1:8" s="40" customFormat="1" ht="12">
      <c r="A1431" s="39">
        <f t="shared" si="22"/>
        <v>2</v>
      </c>
      <c r="B1431" s="39" t="s">
        <v>1385</v>
      </c>
      <c r="C1431" s="7" t="s">
        <v>1127</v>
      </c>
      <c r="D1431" s="8" t="s">
        <v>1857</v>
      </c>
      <c r="E1431" s="25" t="s">
        <v>1127</v>
      </c>
      <c r="F1431" s="18"/>
      <c r="G1431" s="18"/>
      <c r="H1431" s="17"/>
    </row>
    <row r="1432" spans="1:8" s="43" customFormat="1" ht="12">
      <c r="A1432" s="42">
        <f t="shared" si="22"/>
        <v>2</v>
      </c>
      <c r="B1432" s="42" t="s">
        <v>1385</v>
      </c>
      <c r="C1432" s="13"/>
      <c r="D1432" s="10" t="s">
        <v>730</v>
      </c>
      <c r="E1432" s="27" t="s">
        <v>1127</v>
      </c>
      <c r="F1432" s="20"/>
      <c r="G1432" s="20"/>
      <c r="H1432" s="15"/>
    </row>
    <row r="1433" spans="1:8" s="3" customFormat="1" ht="12">
      <c r="A1433" s="41">
        <f t="shared" si="22"/>
        <v>2</v>
      </c>
      <c r="B1433" s="41" t="s">
        <v>1386</v>
      </c>
      <c r="C1433" s="1" t="s">
        <v>1023</v>
      </c>
      <c r="D1433" s="2" t="s">
        <v>731</v>
      </c>
      <c r="E1433" s="26" t="s">
        <v>1206</v>
      </c>
      <c r="F1433" s="19">
        <v>0</v>
      </c>
      <c r="G1433" s="19"/>
      <c r="H1433" s="17">
        <f>ROUND((P_2_118 Qté)*(P_2_118 PU),2)</f>
        <v>0</v>
      </c>
    </row>
    <row r="1434" spans="1:8" s="3" customFormat="1" ht="12">
      <c r="A1434" s="41">
        <f t="shared" si="22"/>
        <v>2</v>
      </c>
      <c r="B1434" s="41" t="s">
        <v>1386</v>
      </c>
      <c r="C1434" s="1" t="s">
        <v>1024</v>
      </c>
      <c r="D1434" s="2" t="s">
        <v>732</v>
      </c>
      <c r="E1434" s="26" t="s">
        <v>1206</v>
      </c>
      <c r="F1434" s="19">
        <v>0</v>
      </c>
      <c r="G1434" s="19"/>
      <c r="H1434" s="17">
        <f>ROUND((P_2_119 Qté)*(P_2_119 PU),2)</f>
        <v>0</v>
      </c>
    </row>
    <row r="1435" spans="1:8" s="3" customFormat="1" ht="12">
      <c r="A1435" s="41">
        <f t="shared" si="22"/>
        <v>2</v>
      </c>
      <c r="B1435" s="41" t="s">
        <v>1386</v>
      </c>
      <c r="C1435" s="1" t="s">
        <v>1025</v>
      </c>
      <c r="D1435" s="2" t="s">
        <v>733</v>
      </c>
      <c r="E1435" s="26" t="s">
        <v>1206</v>
      </c>
      <c r="F1435" s="19">
        <v>0</v>
      </c>
      <c r="G1435" s="19"/>
      <c r="H1435" s="17">
        <f>ROUND((P_2_120 Qté)*(P_2_120 PU),2)</f>
        <v>0</v>
      </c>
    </row>
    <row r="1436" spans="1:8" s="3" customFormat="1" ht="12">
      <c r="A1436" s="41">
        <f t="shared" si="22"/>
        <v>2</v>
      </c>
      <c r="B1436" s="41" t="s">
        <v>1386</v>
      </c>
      <c r="C1436" s="1" t="s">
        <v>1026</v>
      </c>
      <c r="D1436" s="2" t="s">
        <v>734</v>
      </c>
      <c r="E1436" s="26" t="s">
        <v>1206</v>
      </c>
      <c r="F1436" s="19">
        <v>0</v>
      </c>
      <c r="G1436" s="19"/>
      <c r="H1436" s="17">
        <f>ROUND((P_2_121 Qté)*(P_2_121 PU),2)</f>
        <v>0</v>
      </c>
    </row>
    <row r="1437" spans="1:8" s="40" customFormat="1" ht="24">
      <c r="A1437" s="39">
        <f t="shared" si="22"/>
        <v>2</v>
      </c>
      <c r="B1437" s="39" t="s">
        <v>1385</v>
      </c>
      <c r="C1437" s="7" t="s">
        <v>1127</v>
      </c>
      <c r="D1437" s="8" t="s">
        <v>1442</v>
      </c>
      <c r="E1437" s="25" t="s">
        <v>1127</v>
      </c>
      <c r="F1437" s="18"/>
      <c r="G1437" s="18"/>
      <c r="H1437" s="17"/>
    </row>
    <row r="1438" spans="1:8" s="40" customFormat="1" ht="36">
      <c r="A1438" s="39">
        <f t="shared" si="22"/>
        <v>2</v>
      </c>
      <c r="B1438" s="39" t="s">
        <v>1385</v>
      </c>
      <c r="C1438" s="7" t="s">
        <v>1127</v>
      </c>
      <c r="D1438" s="8" t="s">
        <v>887</v>
      </c>
      <c r="E1438" s="25" t="s">
        <v>1127</v>
      </c>
      <c r="F1438" s="18"/>
      <c r="G1438" s="18"/>
      <c r="H1438" s="17"/>
    </row>
    <row r="1439" spans="1:8" s="40" customFormat="1" ht="12">
      <c r="A1439" s="39">
        <f t="shared" si="22"/>
        <v>2</v>
      </c>
      <c r="B1439" s="39" t="s">
        <v>1385</v>
      </c>
      <c r="C1439" s="7" t="s">
        <v>1127</v>
      </c>
      <c r="D1439" s="8" t="s">
        <v>730</v>
      </c>
      <c r="E1439" s="25" t="s">
        <v>1127</v>
      </c>
      <c r="F1439" s="18"/>
      <c r="G1439" s="18"/>
      <c r="H1439" s="17"/>
    </row>
    <row r="1440" spans="1:8" s="3" customFormat="1" ht="12">
      <c r="A1440" s="41">
        <f t="shared" si="22"/>
        <v>2</v>
      </c>
      <c r="B1440" s="41" t="s">
        <v>1386</v>
      </c>
      <c r="C1440" s="1" t="s">
        <v>1027</v>
      </c>
      <c r="D1440" s="2" t="s">
        <v>731</v>
      </c>
      <c r="E1440" s="26" t="s">
        <v>1206</v>
      </c>
      <c r="F1440" s="19">
        <v>0</v>
      </c>
      <c r="G1440" s="19"/>
      <c r="H1440" s="17">
        <f>ROUND((P_2_122 Qté)*(P_2_122 PU),2)</f>
        <v>0</v>
      </c>
    </row>
    <row r="1441" spans="1:8" s="3" customFormat="1" ht="12">
      <c r="A1441" s="41">
        <f t="shared" si="22"/>
        <v>2</v>
      </c>
      <c r="B1441" s="41" t="s">
        <v>1386</v>
      </c>
      <c r="C1441" s="1" t="s">
        <v>1028</v>
      </c>
      <c r="D1441" s="2" t="s">
        <v>732</v>
      </c>
      <c r="E1441" s="26" t="s">
        <v>1206</v>
      </c>
      <c r="F1441" s="19">
        <v>0</v>
      </c>
      <c r="G1441" s="19"/>
      <c r="H1441" s="17">
        <f>ROUND((P_2_123 Qté)*(P_2_123 PU),2)</f>
        <v>0</v>
      </c>
    </row>
    <row r="1442" spans="1:8" s="3" customFormat="1" ht="12">
      <c r="A1442" s="41">
        <f t="shared" si="22"/>
        <v>2</v>
      </c>
      <c r="B1442" s="41" t="s">
        <v>1386</v>
      </c>
      <c r="C1442" s="1" t="s">
        <v>1029</v>
      </c>
      <c r="D1442" s="2" t="s">
        <v>733</v>
      </c>
      <c r="E1442" s="26" t="s">
        <v>1206</v>
      </c>
      <c r="F1442" s="19">
        <v>0</v>
      </c>
      <c r="G1442" s="19"/>
      <c r="H1442" s="17">
        <f>ROUND((P_2_124 Qté)*(P_2_124 PU),2)</f>
        <v>0</v>
      </c>
    </row>
    <row r="1443" spans="1:8" s="3" customFormat="1" ht="12">
      <c r="A1443" s="41">
        <f t="shared" si="22"/>
        <v>2</v>
      </c>
      <c r="B1443" s="41" t="s">
        <v>1386</v>
      </c>
      <c r="C1443" s="1" t="s">
        <v>1030</v>
      </c>
      <c r="D1443" s="2" t="s">
        <v>734</v>
      </c>
      <c r="E1443" s="26" t="s">
        <v>1206</v>
      </c>
      <c r="F1443" s="19">
        <v>0</v>
      </c>
      <c r="G1443" s="19"/>
      <c r="H1443" s="17">
        <f>ROUND((P_2_125 Qté)*(P_2_125 PU),2)</f>
        <v>0</v>
      </c>
    </row>
    <row r="1444" spans="1:8" s="40" customFormat="1" ht="24">
      <c r="A1444" s="39">
        <f t="shared" si="22"/>
        <v>2</v>
      </c>
      <c r="B1444" s="39" t="s">
        <v>1385</v>
      </c>
      <c r="C1444" s="7" t="s">
        <v>1127</v>
      </c>
      <c r="D1444" s="8" t="s">
        <v>888</v>
      </c>
      <c r="E1444" s="25" t="s">
        <v>1127</v>
      </c>
      <c r="F1444" s="18"/>
      <c r="G1444" s="18"/>
      <c r="H1444" s="17"/>
    </row>
    <row r="1445" spans="1:8" s="3" customFormat="1" ht="60">
      <c r="A1445" s="41">
        <f t="shared" si="22"/>
        <v>2</v>
      </c>
      <c r="B1445" s="41" t="s">
        <v>1386</v>
      </c>
      <c r="C1445" s="1" t="s">
        <v>1031</v>
      </c>
      <c r="D1445" s="2" t="s">
        <v>1410</v>
      </c>
      <c r="E1445" s="26" t="s">
        <v>1213</v>
      </c>
      <c r="F1445" s="19">
        <v>0</v>
      </c>
      <c r="G1445" s="19"/>
      <c r="H1445" s="17">
        <f>ROUND((P_2_126 Qté)*(P_2_126 PU),2)</f>
        <v>0</v>
      </c>
    </row>
    <row r="1446" spans="1:8" s="40" customFormat="1" ht="12">
      <c r="A1446" s="39">
        <f t="shared" si="22"/>
        <v>2</v>
      </c>
      <c r="B1446" s="39" t="s">
        <v>1385</v>
      </c>
      <c r="C1446" s="7" t="s">
        <v>1127</v>
      </c>
      <c r="D1446" s="8" t="s">
        <v>890</v>
      </c>
      <c r="E1446" s="25" t="s">
        <v>1127</v>
      </c>
      <c r="F1446" s="18"/>
      <c r="G1446" s="18"/>
      <c r="H1446" s="17"/>
    </row>
    <row r="1447" spans="1:8" s="3" customFormat="1" ht="36">
      <c r="A1447" s="41">
        <f t="shared" si="22"/>
        <v>2</v>
      </c>
      <c r="B1447" s="41" t="s">
        <v>1386</v>
      </c>
      <c r="C1447" s="1" t="s">
        <v>1032</v>
      </c>
      <c r="D1447" s="2" t="s">
        <v>1415</v>
      </c>
      <c r="E1447" s="26" t="s">
        <v>1213</v>
      </c>
      <c r="F1447" s="19">
        <v>0</v>
      </c>
      <c r="G1447" s="19"/>
      <c r="H1447" s="17">
        <f>ROUND((P_2_127 Qté)*(P_2_127 PU),2)</f>
        <v>0</v>
      </c>
    </row>
    <row r="1448" spans="1:8" s="40" customFormat="1" ht="36">
      <c r="A1448" s="39">
        <f t="shared" si="22"/>
        <v>2</v>
      </c>
      <c r="B1448" s="39" t="s">
        <v>1385</v>
      </c>
      <c r="C1448" s="7" t="s">
        <v>1127</v>
      </c>
      <c r="D1448" s="8" t="s">
        <v>1416</v>
      </c>
      <c r="E1448" s="25" t="s">
        <v>1127</v>
      </c>
      <c r="F1448" s="18"/>
      <c r="G1448" s="18"/>
      <c r="H1448" s="17"/>
    </row>
    <row r="1449" spans="1:8" s="40" customFormat="1" ht="60">
      <c r="A1449" s="39">
        <f t="shared" si="22"/>
        <v>2</v>
      </c>
      <c r="B1449" s="39" t="s">
        <v>1385</v>
      </c>
      <c r="C1449" s="7" t="s">
        <v>1127</v>
      </c>
      <c r="D1449" s="8" t="s">
        <v>1414</v>
      </c>
      <c r="E1449" s="25" t="s">
        <v>1127</v>
      </c>
      <c r="F1449" s="18"/>
      <c r="G1449" s="18"/>
      <c r="H1449" s="17"/>
    </row>
    <row r="1450" spans="1:8" s="40" customFormat="1" ht="48">
      <c r="A1450" s="39">
        <f t="shared" si="22"/>
        <v>2</v>
      </c>
      <c r="B1450" s="39" t="s">
        <v>1385</v>
      </c>
      <c r="C1450" s="7" t="s">
        <v>1127</v>
      </c>
      <c r="D1450" s="8" t="s">
        <v>1413</v>
      </c>
      <c r="E1450" s="25" t="s">
        <v>1127</v>
      </c>
      <c r="F1450" s="18"/>
      <c r="G1450" s="18"/>
      <c r="H1450" s="17"/>
    </row>
    <row r="1451" spans="1:8" s="40" customFormat="1" ht="36">
      <c r="A1451" s="39">
        <f t="shared" si="22"/>
        <v>2</v>
      </c>
      <c r="B1451" s="39" t="s">
        <v>1385</v>
      </c>
      <c r="C1451" s="7" t="s">
        <v>1127</v>
      </c>
      <c r="D1451" s="8" t="s">
        <v>1412</v>
      </c>
      <c r="E1451" s="25" t="s">
        <v>1127</v>
      </c>
      <c r="F1451" s="18"/>
      <c r="G1451" s="18"/>
      <c r="H1451" s="17"/>
    </row>
    <row r="1452" spans="1:8" s="40" customFormat="1" ht="24">
      <c r="A1452" s="39">
        <f t="shared" si="22"/>
        <v>2</v>
      </c>
      <c r="B1452" s="39" t="s">
        <v>1385</v>
      </c>
      <c r="C1452" s="7" t="s">
        <v>1127</v>
      </c>
      <c r="D1452" s="8" t="s">
        <v>1411</v>
      </c>
      <c r="E1452" s="25" t="s">
        <v>1127</v>
      </c>
      <c r="F1452" s="18"/>
      <c r="G1452" s="18"/>
      <c r="H1452" s="17"/>
    </row>
    <row r="1453" spans="1:8" s="40" customFormat="1" ht="12">
      <c r="A1453" s="39">
        <f t="shared" si="22"/>
        <v>2</v>
      </c>
      <c r="B1453" s="39" t="s">
        <v>1385</v>
      </c>
      <c r="C1453" s="7" t="s">
        <v>1127</v>
      </c>
      <c r="D1453" s="8" t="s">
        <v>1429</v>
      </c>
      <c r="E1453" s="25" t="s">
        <v>1127</v>
      </c>
      <c r="F1453" s="18"/>
      <c r="G1453" s="18"/>
      <c r="H1453" s="17"/>
    </row>
    <row r="1454" spans="1:8" s="40" customFormat="1" ht="24">
      <c r="A1454" s="39">
        <f t="shared" si="22"/>
        <v>2</v>
      </c>
      <c r="B1454" s="39" t="s">
        <v>1385</v>
      </c>
      <c r="C1454" s="7" t="s">
        <v>1127</v>
      </c>
      <c r="D1454" s="8" t="s">
        <v>1430</v>
      </c>
      <c r="E1454" s="25" t="s">
        <v>1127</v>
      </c>
      <c r="F1454" s="18"/>
      <c r="G1454" s="18"/>
      <c r="H1454" s="17"/>
    </row>
    <row r="1455" spans="1:8" s="40" customFormat="1" ht="156">
      <c r="A1455" s="39">
        <f t="shared" si="22"/>
        <v>2</v>
      </c>
      <c r="B1455" s="39" t="s">
        <v>1385</v>
      </c>
      <c r="C1455" s="7" t="s">
        <v>1127</v>
      </c>
      <c r="D1455" s="8" t="s">
        <v>1445</v>
      </c>
      <c r="E1455" s="25" t="s">
        <v>1127</v>
      </c>
      <c r="F1455" s="18"/>
      <c r="G1455" s="18"/>
      <c r="H1455" s="17"/>
    </row>
    <row r="1456" spans="1:8" s="40" customFormat="1" ht="24">
      <c r="A1456" s="39">
        <f aca="true" t="shared" si="23" ref="A1456:A1519">A1455</f>
        <v>2</v>
      </c>
      <c r="B1456" s="39" t="s">
        <v>1385</v>
      </c>
      <c r="C1456" s="7" t="s">
        <v>1127</v>
      </c>
      <c r="D1456" s="8" t="s">
        <v>1431</v>
      </c>
      <c r="E1456" s="25" t="s">
        <v>1127</v>
      </c>
      <c r="F1456" s="18"/>
      <c r="G1456" s="18"/>
      <c r="H1456" s="17"/>
    </row>
    <row r="1457" spans="1:8" s="3" customFormat="1" ht="12">
      <c r="A1457" s="41">
        <f t="shared" si="23"/>
        <v>2</v>
      </c>
      <c r="B1457" s="41" t="s">
        <v>1386</v>
      </c>
      <c r="C1457" s="1" t="s">
        <v>1033</v>
      </c>
      <c r="D1457" s="2" t="s">
        <v>1432</v>
      </c>
      <c r="E1457" s="26" t="s">
        <v>1213</v>
      </c>
      <c r="F1457" s="19">
        <v>0</v>
      </c>
      <c r="G1457" s="19"/>
      <c r="H1457" s="17">
        <f>ROUND((P_2_128 Qté)*(P_2_128 PU),2)</f>
        <v>0</v>
      </c>
    </row>
    <row r="1458" spans="1:8" s="3" customFormat="1" ht="12">
      <c r="A1458" s="41">
        <f t="shared" si="23"/>
        <v>2</v>
      </c>
      <c r="B1458" s="41" t="s">
        <v>1386</v>
      </c>
      <c r="C1458" s="1" t="s">
        <v>1034</v>
      </c>
      <c r="D1458" s="2" t="s">
        <v>1433</v>
      </c>
      <c r="E1458" s="26" t="s">
        <v>1213</v>
      </c>
      <c r="F1458" s="19">
        <v>0</v>
      </c>
      <c r="G1458" s="19"/>
      <c r="H1458" s="17">
        <f>ROUND((P_2_129 Qté)*(P_2_129 PU),2)</f>
        <v>0</v>
      </c>
    </row>
    <row r="1459" spans="1:8" s="3" customFormat="1" ht="12">
      <c r="A1459" s="41">
        <f t="shared" si="23"/>
        <v>2</v>
      </c>
      <c r="B1459" s="41" t="s">
        <v>1386</v>
      </c>
      <c r="C1459" s="1" t="s">
        <v>1035</v>
      </c>
      <c r="D1459" s="2" t="s">
        <v>1434</v>
      </c>
      <c r="E1459" s="26" t="s">
        <v>1213</v>
      </c>
      <c r="F1459" s="19">
        <v>0</v>
      </c>
      <c r="G1459" s="19"/>
      <c r="H1459" s="17">
        <f>ROUND((P_2_130 Qté)*(P_2_130 PU),2)</f>
        <v>0</v>
      </c>
    </row>
    <row r="1460" spans="1:8" s="3" customFormat="1" ht="12">
      <c r="A1460" s="41">
        <f t="shared" si="23"/>
        <v>2</v>
      </c>
      <c r="B1460" s="41" t="s">
        <v>1386</v>
      </c>
      <c r="C1460" s="1" t="s">
        <v>1036</v>
      </c>
      <c r="D1460" s="2" t="s">
        <v>1435</v>
      </c>
      <c r="E1460" s="26" t="s">
        <v>1213</v>
      </c>
      <c r="F1460" s="19">
        <v>0</v>
      </c>
      <c r="G1460" s="19"/>
      <c r="H1460" s="17">
        <f>ROUND((P_2_131 Qté)*(P_2_131 PU),2)</f>
        <v>0</v>
      </c>
    </row>
    <row r="1461" spans="1:8" s="40" customFormat="1" ht="24">
      <c r="A1461" s="39">
        <f t="shared" si="23"/>
        <v>2</v>
      </c>
      <c r="B1461" s="39" t="s">
        <v>1385</v>
      </c>
      <c r="C1461" s="7" t="s">
        <v>1127</v>
      </c>
      <c r="D1461" s="8" t="s">
        <v>1436</v>
      </c>
      <c r="E1461" s="25" t="s">
        <v>1127</v>
      </c>
      <c r="F1461" s="18"/>
      <c r="G1461" s="18"/>
      <c r="H1461" s="17"/>
    </row>
    <row r="1462" spans="1:8" s="40" customFormat="1" ht="24">
      <c r="A1462" s="39">
        <f t="shared" si="23"/>
        <v>2</v>
      </c>
      <c r="B1462" s="39" t="s">
        <v>1385</v>
      </c>
      <c r="C1462" s="7" t="s">
        <v>1127</v>
      </c>
      <c r="D1462" s="8" t="s">
        <v>1420</v>
      </c>
      <c r="E1462" s="25" t="s">
        <v>1127</v>
      </c>
      <c r="F1462" s="18"/>
      <c r="G1462" s="18"/>
      <c r="H1462" s="17"/>
    </row>
    <row r="1463" spans="1:8" s="40" customFormat="1" ht="36">
      <c r="A1463" s="39">
        <f t="shared" si="23"/>
        <v>2</v>
      </c>
      <c r="B1463" s="39" t="s">
        <v>1385</v>
      </c>
      <c r="C1463" s="7" t="s">
        <v>1127</v>
      </c>
      <c r="D1463" s="8" t="s">
        <v>1419</v>
      </c>
      <c r="E1463" s="25" t="s">
        <v>1127</v>
      </c>
      <c r="F1463" s="18"/>
      <c r="G1463" s="18"/>
      <c r="H1463" s="17"/>
    </row>
    <row r="1464" spans="1:8" s="40" customFormat="1" ht="36">
      <c r="A1464" s="39">
        <f t="shared" si="23"/>
        <v>2</v>
      </c>
      <c r="B1464" s="39" t="s">
        <v>1385</v>
      </c>
      <c r="C1464" s="7" t="s">
        <v>1127</v>
      </c>
      <c r="D1464" s="8" t="s">
        <v>1418</v>
      </c>
      <c r="E1464" s="25" t="s">
        <v>1127</v>
      </c>
      <c r="F1464" s="18"/>
      <c r="G1464" s="18"/>
      <c r="H1464" s="17"/>
    </row>
    <row r="1465" spans="1:8" s="40" customFormat="1" ht="24">
      <c r="A1465" s="39">
        <f t="shared" si="23"/>
        <v>2</v>
      </c>
      <c r="B1465" s="39" t="s">
        <v>1385</v>
      </c>
      <c r="C1465" s="7" t="s">
        <v>1127</v>
      </c>
      <c r="D1465" s="8" t="s">
        <v>1333</v>
      </c>
      <c r="E1465" s="25" t="s">
        <v>1127</v>
      </c>
      <c r="F1465" s="18"/>
      <c r="G1465" s="18"/>
      <c r="H1465" s="17"/>
    </row>
    <row r="1466" spans="1:8" s="40" customFormat="1" ht="36">
      <c r="A1466" s="39">
        <f t="shared" si="23"/>
        <v>2</v>
      </c>
      <c r="B1466" s="39" t="s">
        <v>1385</v>
      </c>
      <c r="C1466" s="7" t="s">
        <v>1127</v>
      </c>
      <c r="D1466" s="8" t="s">
        <v>1417</v>
      </c>
      <c r="E1466" s="25" t="s">
        <v>1127</v>
      </c>
      <c r="F1466" s="18"/>
      <c r="G1466" s="18"/>
      <c r="H1466" s="17"/>
    </row>
    <row r="1467" spans="1:8" s="40" customFormat="1" ht="24">
      <c r="A1467" s="39">
        <f t="shared" si="23"/>
        <v>2</v>
      </c>
      <c r="B1467" s="39" t="s">
        <v>1385</v>
      </c>
      <c r="C1467" s="7" t="s">
        <v>1127</v>
      </c>
      <c r="D1467" s="8" t="s">
        <v>1431</v>
      </c>
      <c r="E1467" s="25" t="s">
        <v>1127</v>
      </c>
      <c r="F1467" s="18"/>
      <c r="G1467" s="18"/>
      <c r="H1467" s="17"/>
    </row>
    <row r="1468" spans="1:8" s="3" customFormat="1" ht="12">
      <c r="A1468" s="41">
        <f t="shared" si="23"/>
        <v>2</v>
      </c>
      <c r="B1468" s="41" t="s">
        <v>1386</v>
      </c>
      <c r="C1468" s="1" t="s">
        <v>1037</v>
      </c>
      <c r="D1468" s="2" t="s">
        <v>1437</v>
      </c>
      <c r="E1468" s="26" t="s">
        <v>1213</v>
      </c>
      <c r="F1468" s="19">
        <v>0</v>
      </c>
      <c r="G1468" s="19"/>
      <c r="H1468" s="17">
        <f>ROUND((P_2_132 Qté)*(P_2_132 PU),2)</f>
        <v>0</v>
      </c>
    </row>
    <row r="1469" spans="1:8" s="3" customFormat="1" ht="12">
      <c r="A1469" s="41">
        <f t="shared" si="23"/>
        <v>2</v>
      </c>
      <c r="B1469" s="41" t="s">
        <v>1386</v>
      </c>
      <c r="C1469" s="1" t="s">
        <v>1038</v>
      </c>
      <c r="D1469" s="2" t="s">
        <v>1438</v>
      </c>
      <c r="E1469" s="26" t="s">
        <v>1213</v>
      </c>
      <c r="F1469" s="19">
        <v>0</v>
      </c>
      <c r="G1469" s="19"/>
      <c r="H1469" s="17">
        <f>ROUND((P_2_133 Qté)*(P_2_133 PU),2)</f>
        <v>0</v>
      </c>
    </row>
    <row r="1470" spans="1:8" s="3" customFormat="1" ht="24">
      <c r="A1470" s="41">
        <f t="shared" si="23"/>
        <v>2</v>
      </c>
      <c r="B1470" s="41" t="s">
        <v>1386</v>
      </c>
      <c r="C1470" s="1" t="s">
        <v>1294</v>
      </c>
      <c r="D1470" s="2" t="s">
        <v>1439</v>
      </c>
      <c r="E1470" s="26" t="s">
        <v>1213</v>
      </c>
      <c r="F1470" s="19">
        <v>0</v>
      </c>
      <c r="G1470" s="19"/>
      <c r="H1470" s="17">
        <f>ROUND((P_2_133.1 Qté)*(P_2_133.1 PU),2)</f>
        <v>0</v>
      </c>
    </row>
    <row r="1471" spans="1:8" s="40" customFormat="1" ht="48">
      <c r="A1471" s="39">
        <f t="shared" si="23"/>
        <v>2</v>
      </c>
      <c r="B1471" s="39" t="s">
        <v>1385</v>
      </c>
      <c r="C1471" s="7" t="s">
        <v>1127</v>
      </c>
      <c r="D1471" s="8" t="s">
        <v>1425</v>
      </c>
      <c r="E1471" s="25" t="s">
        <v>1127</v>
      </c>
      <c r="F1471" s="18"/>
      <c r="G1471" s="18"/>
      <c r="H1471" s="17"/>
    </row>
    <row r="1472" spans="1:8" s="40" customFormat="1" ht="24">
      <c r="A1472" s="39">
        <f t="shared" si="23"/>
        <v>2</v>
      </c>
      <c r="B1472" s="39" t="s">
        <v>1385</v>
      </c>
      <c r="C1472" s="7" t="s">
        <v>1127</v>
      </c>
      <c r="D1472" s="8" t="s">
        <v>1424</v>
      </c>
      <c r="E1472" s="25" t="s">
        <v>1127</v>
      </c>
      <c r="F1472" s="18"/>
      <c r="G1472" s="18"/>
      <c r="H1472" s="17"/>
    </row>
    <row r="1473" spans="1:8" s="40" customFormat="1" ht="36">
      <c r="A1473" s="39">
        <f t="shared" si="23"/>
        <v>2</v>
      </c>
      <c r="B1473" s="39" t="s">
        <v>1385</v>
      </c>
      <c r="C1473" s="7" t="s">
        <v>1127</v>
      </c>
      <c r="D1473" s="8" t="s">
        <v>1423</v>
      </c>
      <c r="E1473" s="25" t="s">
        <v>1127</v>
      </c>
      <c r="F1473" s="18"/>
      <c r="G1473" s="18"/>
      <c r="H1473" s="17"/>
    </row>
    <row r="1474" spans="1:8" s="40" customFormat="1" ht="24">
      <c r="A1474" s="39">
        <f t="shared" si="23"/>
        <v>2</v>
      </c>
      <c r="B1474" s="39" t="s">
        <v>1385</v>
      </c>
      <c r="C1474" s="7" t="s">
        <v>1127</v>
      </c>
      <c r="D1474" s="8" t="s">
        <v>1422</v>
      </c>
      <c r="E1474" s="25" t="s">
        <v>1127</v>
      </c>
      <c r="F1474" s="18"/>
      <c r="G1474" s="18"/>
      <c r="H1474" s="17"/>
    </row>
    <row r="1475" spans="1:8" s="40" customFormat="1" ht="24">
      <c r="A1475" s="39">
        <f t="shared" si="23"/>
        <v>2</v>
      </c>
      <c r="B1475" s="39" t="s">
        <v>1385</v>
      </c>
      <c r="C1475" s="7" t="s">
        <v>1127</v>
      </c>
      <c r="D1475" s="8" t="s">
        <v>1421</v>
      </c>
      <c r="E1475" s="25" t="s">
        <v>1127</v>
      </c>
      <c r="F1475" s="18"/>
      <c r="G1475" s="18"/>
      <c r="H1475" s="17"/>
    </row>
    <row r="1476" spans="1:8" s="40" customFormat="1" ht="12">
      <c r="A1476" s="39">
        <f t="shared" si="23"/>
        <v>2</v>
      </c>
      <c r="B1476" s="39" t="s">
        <v>1385</v>
      </c>
      <c r="C1476" s="7" t="s">
        <v>1127</v>
      </c>
      <c r="D1476" s="8" t="s">
        <v>1440</v>
      </c>
      <c r="E1476" s="25" t="s">
        <v>1127</v>
      </c>
      <c r="F1476" s="18"/>
      <c r="G1476" s="18"/>
      <c r="H1476" s="17"/>
    </row>
    <row r="1477" spans="1:8" s="40" customFormat="1" ht="24">
      <c r="A1477" s="39">
        <f t="shared" si="23"/>
        <v>2</v>
      </c>
      <c r="B1477" s="39" t="s">
        <v>1385</v>
      </c>
      <c r="C1477" s="7" t="s">
        <v>1127</v>
      </c>
      <c r="D1477" s="8" t="s">
        <v>1431</v>
      </c>
      <c r="E1477" s="44"/>
      <c r="F1477" s="18"/>
      <c r="G1477" s="18"/>
      <c r="H1477" s="17"/>
    </row>
    <row r="1478" spans="1:8" s="40" customFormat="1" ht="24">
      <c r="A1478" s="39">
        <f t="shared" si="23"/>
        <v>2</v>
      </c>
      <c r="B1478" s="39" t="s">
        <v>1385</v>
      </c>
      <c r="C1478" s="7" t="s">
        <v>1127</v>
      </c>
      <c r="D1478" s="8" t="s">
        <v>1441</v>
      </c>
      <c r="E1478" s="25" t="s">
        <v>1127</v>
      </c>
      <c r="F1478" s="18"/>
      <c r="G1478" s="18"/>
      <c r="H1478" s="17"/>
    </row>
    <row r="1479" spans="1:8" s="3" customFormat="1" ht="48">
      <c r="A1479" s="41">
        <f t="shared" si="23"/>
        <v>2</v>
      </c>
      <c r="B1479" s="41" t="s">
        <v>1386</v>
      </c>
      <c r="C1479" s="1" t="s">
        <v>1039</v>
      </c>
      <c r="D1479" s="2" t="s">
        <v>1428</v>
      </c>
      <c r="E1479" s="26" t="s">
        <v>1174</v>
      </c>
      <c r="F1479" s="19">
        <v>0</v>
      </c>
      <c r="G1479" s="19"/>
      <c r="H1479" s="17">
        <f>ROUND((P_2_134 Qté)*(P_2_134 PU),2)</f>
        <v>0</v>
      </c>
    </row>
    <row r="1480" spans="1:8" s="40" customFormat="1" ht="12">
      <c r="A1480" s="39">
        <f t="shared" si="23"/>
        <v>2</v>
      </c>
      <c r="B1480" s="39" t="s">
        <v>1385</v>
      </c>
      <c r="C1480" s="7" t="s">
        <v>1127</v>
      </c>
      <c r="D1480" s="8" t="s">
        <v>1334</v>
      </c>
      <c r="E1480" s="25" t="s">
        <v>1127</v>
      </c>
      <c r="F1480" s="18"/>
      <c r="G1480" s="18"/>
      <c r="H1480" s="17"/>
    </row>
    <row r="1481" spans="1:8" s="40" customFormat="1" ht="36">
      <c r="A1481" s="39">
        <f t="shared" si="23"/>
        <v>2</v>
      </c>
      <c r="B1481" s="39" t="s">
        <v>1385</v>
      </c>
      <c r="C1481" s="7" t="s">
        <v>1127</v>
      </c>
      <c r="D1481" s="8" t="s">
        <v>1335</v>
      </c>
      <c r="E1481" s="25" t="s">
        <v>1127</v>
      </c>
      <c r="F1481" s="18"/>
      <c r="G1481" s="18"/>
      <c r="H1481" s="17"/>
    </row>
    <row r="1482" spans="1:8" s="40" customFormat="1" ht="24">
      <c r="A1482" s="39">
        <f t="shared" si="23"/>
        <v>2</v>
      </c>
      <c r="B1482" s="39" t="s">
        <v>1385</v>
      </c>
      <c r="C1482" s="7" t="s">
        <v>1127</v>
      </c>
      <c r="D1482" s="8" t="s">
        <v>1427</v>
      </c>
      <c r="E1482" s="25" t="s">
        <v>1127</v>
      </c>
      <c r="F1482" s="18"/>
      <c r="G1482" s="18"/>
      <c r="H1482" s="17"/>
    </row>
    <row r="1483" spans="1:8" s="40" customFormat="1" ht="36">
      <c r="A1483" s="39">
        <f t="shared" si="23"/>
        <v>2</v>
      </c>
      <c r="B1483" s="39" t="s">
        <v>1385</v>
      </c>
      <c r="C1483" s="7" t="s">
        <v>1127</v>
      </c>
      <c r="D1483" s="8" t="s">
        <v>1426</v>
      </c>
      <c r="E1483" s="25" t="s">
        <v>1127</v>
      </c>
      <c r="F1483" s="18"/>
      <c r="G1483" s="18"/>
      <c r="H1483" s="17"/>
    </row>
    <row r="1484" spans="1:8" s="40" customFormat="1" ht="24">
      <c r="A1484" s="39">
        <f t="shared" si="23"/>
        <v>2</v>
      </c>
      <c r="B1484" s="39" t="s">
        <v>1385</v>
      </c>
      <c r="C1484" s="7" t="s">
        <v>1127</v>
      </c>
      <c r="D1484" s="8" t="s">
        <v>1422</v>
      </c>
      <c r="E1484" s="25" t="s">
        <v>1127</v>
      </c>
      <c r="F1484" s="18"/>
      <c r="G1484" s="18"/>
      <c r="H1484" s="17"/>
    </row>
    <row r="1485" spans="1:8" s="40" customFormat="1" ht="24">
      <c r="A1485" s="39">
        <f t="shared" si="23"/>
        <v>2</v>
      </c>
      <c r="B1485" s="39" t="s">
        <v>1385</v>
      </c>
      <c r="C1485" s="7" t="s">
        <v>1127</v>
      </c>
      <c r="D1485" s="8" t="s">
        <v>1421</v>
      </c>
      <c r="E1485" s="25" t="s">
        <v>1127</v>
      </c>
      <c r="F1485" s="18"/>
      <c r="G1485" s="18"/>
      <c r="H1485" s="17"/>
    </row>
    <row r="1486" spans="1:8" s="40" customFormat="1" ht="24">
      <c r="A1486" s="39">
        <f t="shared" si="23"/>
        <v>2</v>
      </c>
      <c r="B1486" s="39" t="s">
        <v>1385</v>
      </c>
      <c r="C1486" s="7" t="s">
        <v>1127</v>
      </c>
      <c r="D1486" s="8" t="s">
        <v>793</v>
      </c>
      <c r="E1486" s="25" t="s">
        <v>1127</v>
      </c>
      <c r="F1486" s="18"/>
      <c r="G1486" s="18"/>
      <c r="H1486" s="17"/>
    </row>
    <row r="1487" spans="1:8" s="40" customFormat="1" ht="12">
      <c r="A1487" s="39">
        <f t="shared" si="23"/>
        <v>2</v>
      </c>
      <c r="B1487" s="39" t="s">
        <v>1385</v>
      </c>
      <c r="C1487" s="7" t="s">
        <v>1127</v>
      </c>
      <c r="D1487" s="8" t="s">
        <v>794</v>
      </c>
      <c r="E1487" s="44"/>
      <c r="F1487" s="18"/>
      <c r="G1487" s="18"/>
      <c r="H1487" s="17"/>
    </row>
    <row r="1488" spans="1:8" s="40" customFormat="1" ht="24">
      <c r="A1488" s="39">
        <f t="shared" si="23"/>
        <v>2</v>
      </c>
      <c r="B1488" s="39" t="s">
        <v>1385</v>
      </c>
      <c r="C1488" s="7" t="s">
        <v>1127</v>
      </c>
      <c r="D1488" s="8" t="s">
        <v>795</v>
      </c>
      <c r="E1488" s="25" t="s">
        <v>1127</v>
      </c>
      <c r="F1488" s="18"/>
      <c r="G1488" s="18"/>
      <c r="H1488" s="17"/>
    </row>
    <row r="1489" spans="1:8" s="40" customFormat="1" ht="288">
      <c r="A1489" s="39">
        <f t="shared" si="23"/>
        <v>2</v>
      </c>
      <c r="B1489" s="39" t="s">
        <v>1385</v>
      </c>
      <c r="C1489" s="7" t="s">
        <v>1127</v>
      </c>
      <c r="D1489" s="8" t="s">
        <v>18</v>
      </c>
      <c r="E1489" s="25" t="s">
        <v>1127</v>
      </c>
      <c r="F1489" s="18"/>
      <c r="G1489" s="18"/>
      <c r="H1489" s="17"/>
    </row>
    <row r="1490" spans="1:8" s="40" customFormat="1" ht="12">
      <c r="A1490" s="39">
        <f t="shared" si="23"/>
        <v>2</v>
      </c>
      <c r="B1490" s="39" t="s">
        <v>1385</v>
      </c>
      <c r="C1490" s="7" t="s">
        <v>1127</v>
      </c>
      <c r="D1490" s="8" t="s">
        <v>730</v>
      </c>
      <c r="E1490" s="25" t="s">
        <v>1127</v>
      </c>
      <c r="F1490" s="18"/>
      <c r="G1490" s="18"/>
      <c r="H1490" s="17"/>
    </row>
    <row r="1491" spans="1:8" s="3" customFormat="1" ht="12">
      <c r="A1491" s="41">
        <f t="shared" si="23"/>
        <v>2</v>
      </c>
      <c r="B1491" s="41" t="s">
        <v>1386</v>
      </c>
      <c r="C1491" s="1" t="s">
        <v>1040</v>
      </c>
      <c r="D1491" s="2" t="s">
        <v>731</v>
      </c>
      <c r="E1491" s="26" t="s">
        <v>1206</v>
      </c>
      <c r="F1491" s="19">
        <v>0</v>
      </c>
      <c r="G1491" s="19"/>
      <c r="H1491" s="17">
        <f>ROUND((P_2_135 Qté)*(P_2_135 PU),2)</f>
        <v>0</v>
      </c>
    </row>
    <row r="1492" spans="1:8" s="3" customFormat="1" ht="12">
      <c r="A1492" s="41">
        <f t="shared" si="23"/>
        <v>2</v>
      </c>
      <c r="B1492" s="41" t="s">
        <v>1386</v>
      </c>
      <c r="C1492" s="1" t="s">
        <v>1041</v>
      </c>
      <c r="D1492" s="2" t="s">
        <v>732</v>
      </c>
      <c r="E1492" s="26" t="s">
        <v>1206</v>
      </c>
      <c r="F1492" s="19">
        <v>0</v>
      </c>
      <c r="G1492" s="19"/>
      <c r="H1492" s="17">
        <f>ROUND((P_2_136 Qté)*(P_2_136 PU),2)</f>
        <v>0</v>
      </c>
    </row>
    <row r="1493" spans="1:8" s="3" customFormat="1" ht="12">
      <c r="A1493" s="41">
        <f t="shared" si="23"/>
        <v>2</v>
      </c>
      <c r="B1493" s="41" t="s">
        <v>1386</v>
      </c>
      <c r="C1493" s="1" t="s">
        <v>1042</v>
      </c>
      <c r="D1493" s="2" t="s">
        <v>733</v>
      </c>
      <c r="E1493" s="26" t="s">
        <v>1206</v>
      </c>
      <c r="F1493" s="19">
        <v>0</v>
      </c>
      <c r="G1493" s="19"/>
      <c r="H1493" s="17">
        <f>ROUND((P_2_137 Qté)*(P_2_137 PU),2)</f>
        <v>0</v>
      </c>
    </row>
    <row r="1494" spans="1:8" s="3" customFormat="1" ht="12">
      <c r="A1494" s="41">
        <f t="shared" si="23"/>
        <v>2</v>
      </c>
      <c r="B1494" s="41" t="s">
        <v>1386</v>
      </c>
      <c r="C1494" s="1" t="s">
        <v>1043</v>
      </c>
      <c r="D1494" s="2" t="s">
        <v>734</v>
      </c>
      <c r="E1494" s="26" t="s">
        <v>1206</v>
      </c>
      <c r="F1494" s="19">
        <v>0</v>
      </c>
      <c r="G1494" s="19"/>
      <c r="H1494" s="17">
        <f>ROUND((P_2_138 Qté)*(P_2_138 PU),2)</f>
        <v>0</v>
      </c>
    </row>
    <row r="1495" spans="1:8" s="40" customFormat="1" ht="24">
      <c r="A1495" s="39">
        <f t="shared" si="23"/>
        <v>2</v>
      </c>
      <c r="B1495" s="39" t="s">
        <v>1385</v>
      </c>
      <c r="C1495" s="7" t="s">
        <v>1127</v>
      </c>
      <c r="D1495" s="8" t="s">
        <v>1442</v>
      </c>
      <c r="E1495" s="25" t="s">
        <v>1127</v>
      </c>
      <c r="F1495" s="18"/>
      <c r="G1495" s="18"/>
      <c r="H1495" s="17"/>
    </row>
    <row r="1496" spans="1:8" s="40" customFormat="1" ht="36">
      <c r="A1496" s="39">
        <f t="shared" si="23"/>
        <v>2</v>
      </c>
      <c r="B1496" s="39" t="s">
        <v>1385</v>
      </c>
      <c r="C1496" s="7" t="s">
        <v>1127</v>
      </c>
      <c r="D1496" s="8" t="s">
        <v>1350</v>
      </c>
      <c r="E1496" s="25" t="s">
        <v>1127</v>
      </c>
      <c r="F1496" s="18"/>
      <c r="G1496" s="18"/>
      <c r="H1496" s="17"/>
    </row>
    <row r="1497" spans="1:8" s="40" customFormat="1" ht="12">
      <c r="A1497" s="39">
        <f t="shared" si="23"/>
        <v>2</v>
      </c>
      <c r="B1497" s="39" t="s">
        <v>1385</v>
      </c>
      <c r="C1497" s="7" t="s">
        <v>1127</v>
      </c>
      <c r="D1497" s="8" t="s">
        <v>730</v>
      </c>
      <c r="E1497" s="25" t="s">
        <v>1127</v>
      </c>
      <c r="F1497" s="18"/>
      <c r="G1497" s="18"/>
      <c r="H1497" s="17"/>
    </row>
    <row r="1498" spans="1:8" s="3" customFormat="1" ht="12">
      <c r="A1498" s="41">
        <f t="shared" si="23"/>
        <v>2</v>
      </c>
      <c r="B1498" s="41" t="s">
        <v>1386</v>
      </c>
      <c r="C1498" s="1" t="s">
        <v>1044</v>
      </c>
      <c r="D1498" s="2" t="s">
        <v>731</v>
      </c>
      <c r="E1498" s="26" t="s">
        <v>1206</v>
      </c>
      <c r="F1498" s="19">
        <v>0</v>
      </c>
      <c r="G1498" s="19"/>
      <c r="H1498" s="17">
        <f>ROUND((P_2_139 Qté)*(P_2_139 PU),2)</f>
        <v>0</v>
      </c>
    </row>
    <row r="1499" spans="1:8" s="3" customFormat="1" ht="12">
      <c r="A1499" s="41">
        <f t="shared" si="23"/>
        <v>2</v>
      </c>
      <c r="B1499" s="41" t="s">
        <v>1386</v>
      </c>
      <c r="C1499" s="1" t="s">
        <v>1045</v>
      </c>
      <c r="D1499" s="2" t="s">
        <v>732</v>
      </c>
      <c r="E1499" s="26" t="s">
        <v>1206</v>
      </c>
      <c r="F1499" s="19">
        <v>0</v>
      </c>
      <c r="G1499" s="19"/>
      <c r="H1499" s="17">
        <f>ROUND((P_2_140 Qté)*(P_2_140 PU),2)</f>
        <v>0</v>
      </c>
    </row>
    <row r="1500" spans="1:8" s="3" customFormat="1" ht="12">
      <c r="A1500" s="41">
        <f t="shared" si="23"/>
        <v>2</v>
      </c>
      <c r="B1500" s="41" t="s">
        <v>1386</v>
      </c>
      <c r="C1500" s="1" t="s">
        <v>1046</v>
      </c>
      <c r="D1500" s="2" t="s">
        <v>733</v>
      </c>
      <c r="E1500" s="26" t="s">
        <v>1206</v>
      </c>
      <c r="F1500" s="19">
        <v>0</v>
      </c>
      <c r="G1500" s="19"/>
      <c r="H1500" s="17">
        <f>ROUND((P_2_141 Qté)*(P_2_141 PU),2)</f>
        <v>0</v>
      </c>
    </row>
    <row r="1501" spans="1:8" s="3" customFormat="1" ht="12">
      <c r="A1501" s="41">
        <f t="shared" si="23"/>
        <v>2</v>
      </c>
      <c r="B1501" s="41" t="s">
        <v>1386</v>
      </c>
      <c r="C1501" s="1" t="s">
        <v>1047</v>
      </c>
      <c r="D1501" s="2" t="s">
        <v>734</v>
      </c>
      <c r="E1501" s="26" t="s">
        <v>1206</v>
      </c>
      <c r="F1501" s="19">
        <v>0</v>
      </c>
      <c r="G1501" s="19"/>
      <c r="H1501" s="17">
        <f>ROUND((P_2_142 Qté)*(P_2_142 PU),2)</f>
        <v>0</v>
      </c>
    </row>
    <row r="1502" spans="1:8" s="40" customFormat="1" ht="24">
      <c r="A1502" s="39">
        <f t="shared" si="23"/>
        <v>2</v>
      </c>
      <c r="B1502" s="39" t="s">
        <v>1385</v>
      </c>
      <c r="C1502" s="7" t="s">
        <v>1127</v>
      </c>
      <c r="D1502" s="8" t="s">
        <v>888</v>
      </c>
      <c r="E1502" s="25" t="s">
        <v>1127</v>
      </c>
      <c r="F1502" s="18"/>
      <c r="G1502" s="18"/>
      <c r="H1502" s="17"/>
    </row>
    <row r="1503" spans="1:8" s="3" customFormat="1" ht="72">
      <c r="A1503" s="41">
        <f t="shared" si="23"/>
        <v>2</v>
      </c>
      <c r="B1503" s="41" t="s">
        <v>1386</v>
      </c>
      <c r="C1503" s="1" t="s">
        <v>1048</v>
      </c>
      <c r="D1503" s="2" t="s">
        <v>889</v>
      </c>
      <c r="E1503" s="26" t="s">
        <v>1213</v>
      </c>
      <c r="F1503" s="19">
        <v>0</v>
      </c>
      <c r="G1503" s="19"/>
      <c r="H1503" s="17">
        <f>ROUND((P_2_143 Qté)*(P_2_143 PU),2)</f>
        <v>0</v>
      </c>
    </row>
    <row r="1504" spans="1:8" s="3" customFormat="1" ht="24">
      <c r="A1504" s="41">
        <f t="shared" si="23"/>
        <v>2</v>
      </c>
      <c r="B1504" s="41" t="s">
        <v>1386</v>
      </c>
      <c r="C1504" s="1" t="s">
        <v>1049</v>
      </c>
      <c r="D1504" s="2" t="s">
        <v>1351</v>
      </c>
      <c r="E1504" s="26" t="s">
        <v>1213</v>
      </c>
      <c r="F1504" s="19">
        <v>0</v>
      </c>
      <c r="G1504" s="19"/>
      <c r="H1504" s="17">
        <f>ROUND((P_2_144 Qté)*(P_2_144 PU),2)</f>
        <v>0</v>
      </c>
    </row>
    <row r="1505" spans="1:8" s="40" customFormat="1" ht="288">
      <c r="A1505" s="39">
        <f t="shared" si="23"/>
        <v>2</v>
      </c>
      <c r="B1505" s="39" t="s">
        <v>1385</v>
      </c>
      <c r="C1505" s="7" t="s">
        <v>1127</v>
      </c>
      <c r="D1505" s="8" t="s">
        <v>847</v>
      </c>
      <c r="E1505" s="25" t="s">
        <v>1127</v>
      </c>
      <c r="F1505" s="18"/>
      <c r="G1505" s="18"/>
      <c r="H1505" s="17"/>
    </row>
    <row r="1506" spans="1:8" s="40" customFormat="1" ht="108">
      <c r="A1506" s="39">
        <f t="shared" si="23"/>
        <v>2</v>
      </c>
      <c r="B1506" s="39" t="s">
        <v>1385</v>
      </c>
      <c r="C1506" s="7" t="s">
        <v>1127</v>
      </c>
      <c r="D1506" s="8" t="s">
        <v>1352</v>
      </c>
      <c r="E1506" s="25" t="s">
        <v>1127</v>
      </c>
      <c r="F1506" s="18"/>
      <c r="G1506" s="18"/>
      <c r="H1506" s="17"/>
    </row>
    <row r="1507" spans="1:8" s="43" customFormat="1" ht="24">
      <c r="A1507" s="42">
        <f t="shared" si="23"/>
        <v>2</v>
      </c>
      <c r="B1507" s="42" t="s">
        <v>1385</v>
      </c>
      <c r="C1507" s="13"/>
      <c r="D1507" s="10" t="s">
        <v>1353</v>
      </c>
      <c r="E1507" s="27" t="s">
        <v>1127</v>
      </c>
      <c r="F1507" s="20"/>
      <c r="G1507" s="20"/>
      <c r="H1507" s="15"/>
    </row>
    <row r="1508" spans="1:8" s="43" customFormat="1" ht="180">
      <c r="A1508" s="42">
        <f t="shared" si="23"/>
        <v>2</v>
      </c>
      <c r="B1508" s="42" t="s">
        <v>1385</v>
      </c>
      <c r="C1508" s="13"/>
      <c r="D1508" s="10" t="s">
        <v>1354</v>
      </c>
      <c r="E1508" s="27" t="s">
        <v>1127</v>
      </c>
      <c r="F1508" s="20"/>
      <c r="G1508" s="20"/>
      <c r="H1508" s="15"/>
    </row>
    <row r="1509" spans="1:8" s="43" customFormat="1" ht="12">
      <c r="A1509" s="42">
        <f t="shared" si="23"/>
        <v>2</v>
      </c>
      <c r="B1509" s="42" t="s">
        <v>1385</v>
      </c>
      <c r="C1509" s="13"/>
      <c r="D1509" s="10" t="s">
        <v>1355</v>
      </c>
      <c r="E1509" s="27" t="s">
        <v>1127</v>
      </c>
      <c r="F1509" s="20"/>
      <c r="G1509" s="20"/>
      <c r="H1509" s="15"/>
    </row>
    <row r="1510" spans="1:8" ht="12">
      <c r="A1510" s="33">
        <f t="shared" si="23"/>
        <v>2</v>
      </c>
      <c r="B1510" s="33" t="s">
        <v>1386</v>
      </c>
      <c r="C1510" s="12" t="s">
        <v>1050</v>
      </c>
      <c r="D1510" s="4" t="s">
        <v>1356</v>
      </c>
      <c r="E1510" s="22" t="s">
        <v>1174</v>
      </c>
      <c r="F1510" s="16">
        <v>0</v>
      </c>
      <c r="H1510" s="15">
        <f>ROUND((P_2_145 Qté)*(P_2_145 PU),2)</f>
        <v>0</v>
      </c>
    </row>
    <row r="1511" spans="1:8" ht="12">
      <c r="A1511" s="33">
        <f t="shared" si="23"/>
        <v>2</v>
      </c>
      <c r="B1511" s="33" t="s">
        <v>1386</v>
      </c>
      <c r="C1511" s="12" t="s">
        <v>1051</v>
      </c>
      <c r="D1511" s="4" t="s">
        <v>1357</v>
      </c>
      <c r="E1511" s="22" t="s">
        <v>1174</v>
      </c>
      <c r="F1511" s="16">
        <v>0</v>
      </c>
      <c r="H1511" s="15">
        <f>ROUND((P_2_146 Qté)*(P_2_146 PU),2)</f>
        <v>0</v>
      </c>
    </row>
    <row r="1512" spans="1:8" ht="12">
      <c r="A1512" s="33">
        <f t="shared" si="23"/>
        <v>2</v>
      </c>
      <c r="B1512" s="33" t="s">
        <v>1386</v>
      </c>
      <c r="C1512" s="12" t="s">
        <v>1052</v>
      </c>
      <c r="D1512" s="4" t="s">
        <v>1358</v>
      </c>
      <c r="E1512" s="22" t="s">
        <v>1174</v>
      </c>
      <c r="F1512" s="16">
        <v>0</v>
      </c>
      <c r="H1512" s="15">
        <f>ROUND((P_2_147 Qté)*(P_2_147 PU),2)</f>
        <v>0</v>
      </c>
    </row>
    <row r="1513" spans="1:8" s="3" customFormat="1" ht="12">
      <c r="A1513" s="41">
        <f t="shared" si="23"/>
        <v>2</v>
      </c>
      <c r="B1513" s="41" t="s">
        <v>1386</v>
      </c>
      <c r="C1513" s="1" t="s">
        <v>1053</v>
      </c>
      <c r="D1513" s="2" t="s">
        <v>1359</v>
      </c>
      <c r="E1513" s="26" t="s">
        <v>1174</v>
      </c>
      <c r="F1513" s="19">
        <v>0</v>
      </c>
      <c r="G1513" s="19"/>
      <c r="H1513" s="17">
        <f>ROUND((P_2_148 Qté)*(P_2_148 PU),2)</f>
        <v>0</v>
      </c>
    </row>
    <row r="1514" spans="1:8" s="40" customFormat="1" ht="24">
      <c r="A1514" s="39">
        <f t="shared" si="23"/>
        <v>2</v>
      </c>
      <c r="B1514" s="39" t="s">
        <v>1385</v>
      </c>
      <c r="C1514" s="7" t="s">
        <v>1127</v>
      </c>
      <c r="D1514" s="8" t="s">
        <v>1360</v>
      </c>
      <c r="E1514" s="25" t="s">
        <v>1127</v>
      </c>
      <c r="F1514" s="18"/>
      <c r="G1514" s="18"/>
      <c r="H1514" s="17"/>
    </row>
    <row r="1515" spans="1:8" s="40" customFormat="1" ht="300">
      <c r="A1515" s="39">
        <f t="shared" si="23"/>
        <v>2</v>
      </c>
      <c r="B1515" s="39" t="s">
        <v>1385</v>
      </c>
      <c r="C1515" s="7" t="s">
        <v>1127</v>
      </c>
      <c r="D1515" s="8" t="s">
        <v>848</v>
      </c>
      <c r="E1515" s="25" t="s">
        <v>1127</v>
      </c>
      <c r="F1515" s="18"/>
      <c r="G1515" s="18"/>
      <c r="H1515" s="17"/>
    </row>
    <row r="1516" spans="1:8" s="40" customFormat="1" ht="12">
      <c r="A1516" s="39">
        <f t="shared" si="23"/>
        <v>2</v>
      </c>
      <c r="B1516" s="39" t="s">
        <v>1385</v>
      </c>
      <c r="C1516" s="7" t="s">
        <v>1127</v>
      </c>
      <c r="D1516" s="8" t="s">
        <v>1355</v>
      </c>
      <c r="E1516" s="25" t="s">
        <v>1127</v>
      </c>
      <c r="F1516" s="18"/>
      <c r="G1516" s="18"/>
      <c r="H1516" s="17"/>
    </row>
    <row r="1517" spans="1:8" s="3" customFormat="1" ht="12">
      <c r="A1517" s="41">
        <f t="shared" si="23"/>
        <v>2</v>
      </c>
      <c r="B1517" s="41" t="s">
        <v>1386</v>
      </c>
      <c r="C1517" s="1" t="s">
        <v>1054</v>
      </c>
      <c r="D1517" s="2" t="s">
        <v>1356</v>
      </c>
      <c r="E1517" s="26" t="s">
        <v>1174</v>
      </c>
      <c r="F1517" s="19">
        <v>0</v>
      </c>
      <c r="G1517" s="19"/>
      <c r="H1517" s="17">
        <f>ROUND((P_2_149 Qté)*(P_2_149 PU),2)</f>
        <v>0</v>
      </c>
    </row>
    <row r="1518" spans="1:8" s="3" customFormat="1" ht="12">
      <c r="A1518" s="41">
        <f t="shared" si="23"/>
        <v>2</v>
      </c>
      <c r="B1518" s="41" t="s">
        <v>1386</v>
      </c>
      <c r="C1518" s="1" t="s">
        <v>1055</v>
      </c>
      <c r="D1518" s="2" t="s">
        <v>1357</v>
      </c>
      <c r="E1518" s="26" t="s">
        <v>1174</v>
      </c>
      <c r="F1518" s="19">
        <v>0</v>
      </c>
      <c r="G1518" s="19"/>
      <c r="H1518" s="17">
        <f>ROUND((P_2_150 Qté)*(P_2_150 PU),2)</f>
        <v>0</v>
      </c>
    </row>
    <row r="1519" spans="1:8" s="3" customFormat="1" ht="12">
      <c r="A1519" s="41">
        <f t="shared" si="23"/>
        <v>2</v>
      </c>
      <c r="B1519" s="41" t="s">
        <v>1386</v>
      </c>
      <c r="C1519" s="1" t="s">
        <v>1056</v>
      </c>
      <c r="D1519" s="2" t="s">
        <v>1358</v>
      </c>
      <c r="E1519" s="26" t="s">
        <v>1174</v>
      </c>
      <c r="F1519" s="19">
        <v>0</v>
      </c>
      <c r="G1519" s="19"/>
      <c r="H1519" s="17">
        <f>ROUND((P_2_151 Qté)*(P_2_151 PU),2)</f>
        <v>0</v>
      </c>
    </row>
    <row r="1520" spans="1:8" s="3" customFormat="1" ht="12">
      <c r="A1520" s="41">
        <f aca="true" t="shared" si="24" ref="A1520:A1583">A1519</f>
        <v>2</v>
      </c>
      <c r="B1520" s="41" t="s">
        <v>1386</v>
      </c>
      <c r="C1520" s="1" t="s">
        <v>1057</v>
      </c>
      <c r="D1520" s="2" t="s">
        <v>1359</v>
      </c>
      <c r="E1520" s="26" t="s">
        <v>1174</v>
      </c>
      <c r="F1520" s="19">
        <v>0</v>
      </c>
      <c r="G1520" s="19"/>
      <c r="H1520" s="17">
        <f>ROUND((P_2_152 Qté)*(P_2_152 PU),2)</f>
        <v>0</v>
      </c>
    </row>
    <row r="1521" spans="1:8" s="40" customFormat="1" ht="24">
      <c r="A1521" s="39">
        <f t="shared" si="24"/>
        <v>2</v>
      </c>
      <c r="B1521" s="39" t="s">
        <v>1385</v>
      </c>
      <c r="C1521" s="7" t="s">
        <v>1127</v>
      </c>
      <c r="D1521" s="8" t="s">
        <v>1361</v>
      </c>
      <c r="E1521" s="25" t="s">
        <v>1127</v>
      </c>
      <c r="F1521" s="18"/>
      <c r="G1521" s="18"/>
      <c r="H1521" s="17"/>
    </row>
    <row r="1522" spans="1:8" s="40" customFormat="1" ht="252">
      <c r="A1522" s="39">
        <f t="shared" si="24"/>
        <v>2</v>
      </c>
      <c r="B1522" s="39" t="s">
        <v>1385</v>
      </c>
      <c r="C1522" s="7" t="s">
        <v>1127</v>
      </c>
      <c r="D1522" s="8" t="s">
        <v>1362</v>
      </c>
      <c r="E1522" s="25" t="s">
        <v>1127</v>
      </c>
      <c r="F1522" s="18"/>
      <c r="G1522" s="18"/>
      <c r="H1522" s="17"/>
    </row>
    <row r="1523" spans="1:8" s="40" customFormat="1" ht="24">
      <c r="A1523" s="39">
        <f t="shared" si="24"/>
        <v>2</v>
      </c>
      <c r="B1523" s="39" t="s">
        <v>1385</v>
      </c>
      <c r="C1523" s="7" t="s">
        <v>1127</v>
      </c>
      <c r="D1523" s="8" t="s">
        <v>1363</v>
      </c>
      <c r="E1523" s="25" t="s">
        <v>1127</v>
      </c>
      <c r="F1523" s="18"/>
      <c r="G1523" s="18"/>
      <c r="H1523" s="17"/>
    </row>
    <row r="1524" spans="1:8" s="3" customFormat="1" ht="120">
      <c r="A1524" s="41">
        <f t="shared" si="24"/>
        <v>2</v>
      </c>
      <c r="B1524" s="41" t="s">
        <v>1386</v>
      </c>
      <c r="C1524" s="1" t="s">
        <v>1366</v>
      </c>
      <c r="D1524" s="2" t="s">
        <v>1340</v>
      </c>
      <c r="E1524" s="26" t="s">
        <v>1213</v>
      </c>
      <c r="F1524" s="19">
        <v>0</v>
      </c>
      <c r="G1524" s="19"/>
      <c r="H1524" s="17">
        <f>ROUND((P_2_152.1 Qté)*(P_2_152.1 PU),2)</f>
        <v>0</v>
      </c>
    </row>
    <row r="1525" spans="1:8" s="3" customFormat="1" ht="264">
      <c r="A1525" s="41">
        <f t="shared" si="24"/>
        <v>2</v>
      </c>
      <c r="B1525" s="41" t="s">
        <v>1386</v>
      </c>
      <c r="C1525" s="1" t="s">
        <v>1367</v>
      </c>
      <c r="D1525" s="2" t="s">
        <v>1341</v>
      </c>
      <c r="E1525" s="26" t="s">
        <v>1213</v>
      </c>
      <c r="F1525" s="19">
        <v>0</v>
      </c>
      <c r="G1525" s="19"/>
      <c r="H1525" s="17">
        <f>ROUND((P_2_152.2 Qté)*(P_2_152.2 PU),2)</f>
        <v>0</v>
      </c>
    </row>
    <row r="1526" spans="1:8" s="40" customFormat="1" ht="24">
      <c r="A1526" s="39">
        <f t="shared" si="24"/>
        <v>2</v>
      </c>
      <c r="B1526" s="39" t="s">
        <v>1385</v>
      </c>
      <c r="C1526" s="7" t="s">
        <v>1127</v>
      </c>
      <c r="D1526" s="8" t="s">
        <v>1364</v>
      </c>
      <c r="E1526" s="25" t="s">
        <v>1127</v>
      </c>
      <c r="F1526" s="18"/>
      <c r="G1526" s="18"/>
      <c r="H1526" s="17"/>
    </row>
    <row r="1527" spans="1:8" s="40" customFormat="1" ht="288">
      <c r="A1527" s="39">
        <f t="shared" si="24"/>
        <v>2</v>
      </c>
      <c r="B1527" s="39" t="s">
        <v>1385</v>
      </c>
      <c r="C1527" s="7" t="s">
        <v>1127</v>
      </c>
      <c r="D1527" s="8" t="s">
        <v>1457</v>
      </c>
      <c r="E1527" s="25" t="s">
        <v>1127</v>
      </c>
      <c r="F1527" s="18"/>
      <c r="G1527" s="18"/>
      <c r="H1527" s="17"/>
    </row>
    <row r="1528" spans="1:8" s="40" customFormat="1" ht="12">
      <c r="A1528" s="39">
        <f t="shared" si="24"/>
        <v>2</v>
      </c>
      <c r="B1528" s="39" t="s">
        <v>1385</v>
      </c>
      <c r="C1528" s="7" t="s">
        <v>1127</v>
      </c>
      <c r="D1528" s="8" t="s">
        <v>1355</v>
      </c>
      <c r="E1528" s="25" t="s">
        <v>1127</v>
      </c>
      <c r="F1528" s="18"/>
      <c r="G1528" s="18"/>
      <c r="H1528" s="17"/>
    </row>
    <row r="1529" spans="1:8" s="3" customFormat="1" ht="12">
      <c r="A1529" s="41">
        <f t="shared" si="24"/>
        <v>2</v>
      </c>
      <c r="B1529" s="41" t="s">
        <v>1386</v>
      </c>
      <c r="C1529" s="1" t="s">
        <v>1058</v>
      </c>
      <c r="D1529" s="2" t="s">
        <v>1356</v>
      </c>
      <c r="E1529" s="26" t="s">
        <v>1174</v>
      </c>
      <c r="F1529" s="19">
        <v>0</v>
      </c>
      <c r="G1529" s="19"/>
      <c r="H1529" s="17">
        <f>ROUND((P_2_153 Qté)*(P_2_153 PU),2)</f>
        <v>0</v>
      </c>
    </row>
    <row r="1530" spans="1:8" s="3" customFormat="1" ht="12">
      <c r="A1530" s="41">
        <f t="shared" si="24"/>
        <v>2</v>
      </c>
      <c r="B1530" s="41" t="s">
        <v>1386</v>
      </c>
      <c r="C1530" s="1" t="s">
        <v>1059</v>
      </c>
      <c r="D1530" s="2" t="s">
        <v>1357</v>
      </c>
      <c r="E1530" s="26" t="s">
        <v>1174</v>
      </c>
      <c r="F1530" s="19">
        <v>0</v>
      </c>
      <c r="G1530" s="19"/>
      <c r="H1530" s="17">
        <f>ROUND((P_2_154 Qté)*(P_2_154 PU),2)</f>
        <v>0</v>
      </c>
    </row>
    <row r="1531" spans="1:8" s="3" customFormat="1" ht="12">
      <c r="A1531" s="41">
        <f t="shared" si="24"/>
        <v>2</v>
      </c>
      <c r="B1531" s="41" t="s">
        <v>1386</v>
      </c>
      <c r="C1531" s="1" t="s">
        <v>1060</v>
      </c>
      <c r="D1531" s="2" t="s">
        <v>1358</v>
      </c>
      <c r="E1531" s="26" t="s">
        <v>1174</v>
      </c>
      <c r="F1531" s="19">
        <v>0</v>
      </c>
      <c r="G1531" s="19"/>
      <c r="H1531" s="17">
        <f>ROUND((P_2_155 Qté)*(P_2_155 PU),2)</f>
        <v>0</v>
      </c>
    </row>
    <row r="1532" spans="1:8" s="3" customFormat="1" ht="12">
      <c r="A1532" s="41">
        <f t="shared" si="24"/>
        <v>2</v>
      </c>
      <c r="B1532" s="41" t="s">
        <v>1386</v>
      </c>
      <c r="C1532" s="1" t="s">
        <v>1061</v>
      </c>
      <c r="D1532" s="2" t="s">
        <v>1359</v>
      </c>
      <c r="E1532" s="26" t="s">
        <v>1174</v>
      </c>
      <c r="F1532" s="19">
        <v>0</v>
      </c>
      <c r="G1532" s="19"/>
      <c r="H1532" s="17">
        <f>ROUND((P_2_156 Qté)*(P_2_156 PU),2)</f>
        <v>0</v>
      </c>
    </row>
    <row r="1533" spans="1:8" s="40" customFormat="1" ht="24">
      <c r="A1533" s="39">
        <f t="shared" si="24"/>
        <v>2</v>
      </c>
      <c r="B1533" s="39" t="s">
        <v>1385</v>
      </c>
      <c r="C1533" s="7" t="s">
        <v>1127</v>
      </c>
      <c r="D1533" s="8" t="s">
        <v>796</v>
      </c>
      <c r="E1533" s="25" t="s">
        <v>1127</v>
      </c>
      <c r="F1533" s="18"/>
      <c r="G1533" s="18"/>
      <c r="H1533" s="17"/>
    </row>
    <row r="1534" spans="1:8" s="3" customFormat="1" ht="120">
      <c r="A1534" s="41">
        <f t="shared" si="24"/>
        <v>2</v>
      </c>
      <c r="B1534" s="41" t="s">
        <v>1386</v>
      </c>
      <c r="C1534" s="1" t="s">
        <v>1062</v>
      </c>
      <c r="D1534" s="2" t="s">
        <v>797</v>
      </c>
      <c r="E1534" s="26" t="s">
        <v>1174</v>
      </c>
      <c r="F1534" s="19">
        <v>0</v>
      </c>
      <c r="G1534" s="19"/>
      <c r="H1534" s="17">
        <f>ROUND((P_2_157 Qté)*(P_2_157 PU),2)</f>
        <v>0</v>
      </c>
    </row>
    <row r="1535" spans="1:8" s="40" customFormat="1" ht="12">
      <c r="A1535" s="39">
        <f t="shared" si="24"/>
        <v>2</v>
      </c>
      <c r="B1535" s="39" t="s">
        <v>1385</v>
      </c>
      <c r="D1535" s="8" t="s">
        <v>1355</v>
      </c>
      <c r="E1535" s="44"/>
      <c r="F1535" s="18"/>
      <c r="G1535" s="18"/>
      <c r="H1535" s="17"/>
    </row>
    <row r="1536" spans="1:8" s="40" customFormat="1" ht="12">
      <c r="A1536" s="39">
        <f t="shared" si="24"/>
        <v>2</v>
      </c>
      <c r="B1536" s="39" t="s">
        <v>1385</v>
      </c>
      <c r="C1536" s="7" t="s">
        <v>1127</v>
      </c>
      <c r="D1536" s="8" t="s">
        <v>798</v>
      </c>
      <c r="E1536" s="25" t="s">
        <v>1127</v>
      </c>
      <c r="F1536" s="18"/>
      <c r="G1536" s="18"/>
      <c r="H1536" s="17"/>
    </row>
    <row r="1537" spans="1:8" s="40" customFormat="1" ht="336">
      <c r="A1537" s="39">
        <f t="shared" si="24"/>
        <v>2</v>
      </c>
      <c r="B1537" s="39" t="s">
        <v>1385</v>
      </c>
      <c r="C1537" s="7" t="s">
        <v>1127</v>
      </c>
      <c r="D1537" s="8" t="s">
        <v>799</v>
      </c>
      <c r="E1537" s="25" t="s">
        <v>1127</v>
      </c>
      <c r="F1537" s="18"/>
      <c r="G1537" s="18"/>
      <c r="H1537" s="17"/>
    </row>
    <row r="1538" spans="1:8" s="40" customFormat="1" ht="12">
      <c r="A1538" s="39">
        <f t="shared" si="24"/>
        <v>2</v>
      </c>
      <c r="B1538" s="39" t="s">
        <v>1385</v>
      </c>
      <c r="C1538" s="7" t="s">
        <v>1127</v>
      </c>
      <c r="D1538" s="8" t="s">
        <v>800</v>
      </c>
      <c r="E1538" s="25" t="s">
        <v>1127</v>
      </c>
      <c r="F1538" s="18"/>
      <c r="G1538" s="18"/>
      <c r="H1538" s="17"/>
    </row>
    <row r="1539" spans="1:8" s="3" customFormat="1" ht="12">
      <c r="A1539" s="41">
        <f t="shared" si="24"/>
        <v>2</v>
      </c>
      <c r="B1539" s="41" t="s">
        <v>1386</v>
      </c>
      <c r="C1539" s="1" t="s">
        <v>1063</v>
      </c>
      <c r="D1539" s="2" t="s">
        <v>801</v>
      </c>
      <c r="E1539" s="26" t="s">
        <v>1227</v>
      </c>
      <c r="F1539" s="19">
        <v>0</v>
      </c>
      <c r="G1539" s="19"/>
      <c r="H1539" s="17">
        <f>ROUND((P_2_158 Qté)*(P_2_158 PU),2)</f>
        <v>0</v>
      </c>
    </row>
    <row r="1540" spans="1:8" s="3" customFormat="1" ht="12">
      <c r="A1540" s="41">
        <f t="shared" si="24"/>
        <v>2</v>
      </c>
      <c r="B1540" s="41" t="s">
        <v>1386</v>
      </c>
      <c r="C1540" s="1" t="s">
        <v>1064</v>
      </c>
      <c r="D1540" s="2" t="s">
        <v>802</v>
      </c>
      <c r="E1540" s="26" t="s">
        <v>1227</v>
      </c>
      <c r="F1540" s="19">
        <v>0</v>
      </c>
      <c r="G1540" s="19"/>
      <c r="H1540" s="17">
        <f>ROUND((P_2_159 Qté)*(P_2_159 PU),2)</f>
        <v>0</v>
      </c>
    </row>
    <row r="1541" spans="1:8" s="3" customFormat="1" ht="12">
      <c r="A1541" s="41">
        <f t="shared" si="24"/>
        <v>2</v>
      </c>
      <c r="B1541" s="41" t="s">
        <v>1386</v>
      </c>
      <c r="C1541" s="1" t="s">
        <v>1065</v>
      </c>
      <c r="D1541" s="2" t="s">
        <v>803</v>
      </c>
      <c r="E1541" s="26" t="s">
        <v>1227</v>
      </c>
      <c r="F1541" s="19">
        <v>0</v>
      </c>
      <c r="G1541" s="19"/>
      <c r="H1541" s="17">
        <f>ROUND((P_2_160 Qté)*(P_2_160 PU),2)</f>
        <v>0</v>
      </c>
    </row>
    <row r="1542" spans="1:8" s="3" customFormat="1" ht="12">
      <c r="A1542" s="41">
        <f t="shared" si="24"/>
        <v>2</v>
      </c>
      <c r="B1542" s="41" t="s">
        <v>1386</v>
      </c>
      <c r="C1542" s="1" t="s">
        <v>1066</v>
      </c>
      <c r="D1542" s="2" t="s">
        <v>804</v>
      </c>
      <c r="E1542" s="26" t="s">
        <v>1227</v>
      </c>
      <c r="F1542" s="19">
        <v>0</v>
      </c>
      <c r="G1542" s="19"/>
      <c r="H1542" s="17">
        <f>ROUND((P_2_161 Qté)*(P_2_161 PU),2)</f>
        <v>0</v>
      </c>
    </row>
    <row r="1543" spans="1:8" s="3" customFormat="1" ht="12">
      <c r="A1543" s="41">
        <f t="shared" si="24"/>
        <v>2</v>
      </c>
      <c r="B1543" s="41" t="s">
        <v>1386</v>
      </c>
      <c r="C1543" s="1" t="s">
        <v>1067</v>
      </c>
      <c r="D1543" s="2" t="s">
        <v>805</v>
      </c>
      <c r="E1543" s="26" t="s">
        <v>1227</v>
      </c>
      <c r="F1543" s="19">
        <v>0</v>
      </c>
      <c r="G1543" s="19"/>
      <c r="H1543" s="17">
        <f>ROUND((P_2_162 Qté)*(P_2_162 PU),2)</f>
        <v>0</v>
      </c>
    </row>
    <row r="1544" spans="1:8" s="3" customFormat="1" ht="12">
      <c r="A1544" s="41">
        <f t="shared" si="24"/>
        <v>2</v>
      </c>
      <c r="B1544" s="41" t="s">
        <v>1386</v>
      </c>
      <c r="C1544" s="1" t="s">
        <v>1068</v>
      </c>
      <c r="D1544" s="2" t="s">
        <v>806</v>
      </c>
      <c r="E1544" s="26" t="s">
        <v>1227</v>
      </c>
      <c r="F1544" s="19">
        <v>0</v>
      </c>
      <c r="G1544" s="19"/>
      <c r="H1544" s="17">
        <f>ROUND((P_2_163 Qté)*(P_2_163 PU),2)</f>
        <v>0</v>
      </c>
    </row>
    <row r="1545" spans="1:8" s="40" customFormat="1" ht="12">
      <c r="A1545" s="39">
        <f t="shared" si="24"/>
        <v>2</v>
      </c>
      <c r="B1545" s="39" t="s">
        <v>1385</v>
      </c>
      <c r="C1545" s="7" t="s">
        <v>1127</v>
      </c>
      <c r="D1545" s="8" t="s">
        <v>807</v>
      </c>
      <c r="E1545" s="25" t="s">
        <v>1127</v>
      </c>
      <c r="F1545" s="18"/>
      <c r="G1545" s="18"/>
      <c r="H1545" s="17"/>
    </row>
    <row r="1546" spans="1:8" s="40" customFormat="1" ht="384">
      <c r="A1546" s="39">
        <f t="shared" si="24"/>
        <v>2</v>
      </c>
      <c r="B1546" s="39" t="s">
        <v>1385</v>
      </c>
      <c r="C1546" s="7" t="s">
        <v>1127</v>
      </c>
      <c r="D1546" s="8" t="s">
        <v>1365</v>
      </c>
      <c r="E1546" s="25" t="s">
        <v>1127</v>
      </c>
      <c r="F1546" s="18"/>
      <c r="G1546" s="18"/>
      <c r="H1546" s="17"/>
    </row>
    <row r="1547" spans="1:8" s="40" customFormat="1" ht="12">
      <c r="A1547" s="39">
        <f t="shared" si="24"/>
        <v>2</v>
      </c>
      <c r="B1547" s="39" t="s">
        <v>1385</v>
      </c>
      <c r="C1547" s="7" t="s">
        <v>1127</v>
      </c>
      <c r="D1547" s="8" t="s">
        <v>808</v>
      </c>
      <c r="E1547" s="25" t="s">
        <v>1127</v>
      </c>
      <c r="F1547" s="18"/>
      <c r="G1547" s="18"/>
      <c r="H1547" s="17"/>
    </row>
    <row r="1548" spans="1:8" s="3" customFormat="1" ht="12">
      <c r="A1548" s="41">
        <f t="shared" si="24"/>
        <v>2</v>
      </c>
      <c r="B1548" s="41" t="s">
        <v>1386</v>
      </c>
      <c r="C1548" s="1" t="s">
        <v>1069</v>
      </c>
      <c r="D1548" s="2" t="s">
        <v>809</v>
      </c>
      <c r="E1548" s="26" t="s">
        <v>1227</v>
      </c>
      <c r="F1548" s="19">
        <v>0</v>
      </c>
      <c r="G1548" s="19"/>
      <c r="H1548" s="17">
        <f>ROUND((P_2_164 Qté)*(P_2_164 PU),2)</f>
        <v>0</v>
      </c>
    </row>
    <row r="1549" spans="1:8" s="3" customFormat="1" ht="12">
      <c r="A1549" s="41">
        <f t="shared" si="24"/>
        <v>2</v>
      </c>
      <c r="B1549" s="41" t="s">
        <v>1386</v>
      </c>
      <c r="C1549" s="1" t="s">
        <v>1070</v>
      </c>
      <c r="D1549" s="2" t="s">
        <v>810</v>
      </c>
      <c r="E1549" s="26" t="s">
        <v>1227</v>
      </c>
      <c r="F1549" s="19">
        <v>0</v>
      </c>
      <c r="G1549" s="19"/>
      <c r="H1549" s="17">
        <f>ROUND((P_2_165 Qté)*(P_2_165 PU),2)</f>
        <v>0</v>
      </c>
    </row>
    <row r="1550" spans="1:8" s="3" customFormat="1" ht="12">
      <c r="A1550" s="41">
        <f t="shared" si="24"/>
        <v>2</v>
      </c>
      <c r="B1550" s="41" t="s">
        <v>1386</v>
      </c>
      <c r="C1550" s="1" t="s">
        <v>1071</v>
      </c>
      <c r="D1550" s="2" t="s">
        <v>811</v>
      </c>
      <c r="E1550" s="26" t="s">
        <v>1227</v>
      </c>
      <c r="F1550" s="19">
        <v>0</v>
      </c>
      <c r="G1550" s="19"/>
      <c r="H1550" s="17">
        <f>ROUND((P_2_166 Qté)*(P_2_166 PU),2)</f>
        <v>0</v>
      </c>
    </row>
    <row r="1551" spans="1:8" s="3" customFormat="1" ht="12">
      <c r="A1551" s="41">
        <f t="shared" si="24"/>
        <v>2</v>
      </c>
      <c r="B1551" s="41" t="s">
        <v>1386</v>
      </c>
      <c r="C1551" s="1" t="s">
        <v>1072</v>
      </c>
      <c r="D1551" s="2" t="s">
        <v>812</v>
      </c>
      <c r="E1551" s="26" t="s">
        <v>1227</v>
      </c>
      <c r="F1551" s="19">
        <v>0</v>
      </c>
      <c r="G1551" s="19"/>
      <c r="H1551" s="17">
        <f>ROUND((P_2_167 Qté)*(P_2_167 PU),2)</f>
        <v>0</v>
      </c>
    </row>
    <row r="1552" spans="1:8" s="3" customFormat="1" ht="12">
      <c r="A1552" s="41">
        <f t="shared" si="24"/>
        <v>2</v>
      </c>
      <c r="B1552" s="41" t="s">
        <v>1386</v>
      </c>
      <c r="C1552" s="1" t="s">
        <v>1073</v>
      </c>
      <c r="D1552" s="2" t="s">
        <v>813</v>
      </c>
      <c r="E1552" s="26" t="s">
        <v>1227</v>
      </c>
      <c r="F1552" s="19">
        <v>0</v>
      </c>
      <c r="G1552" s="19"/>
      <c r="H1552" s="17">
        <f>ROUND((P_2_168 Qté)*(P_2_168 PU),2)</f>
        <v>0</v>
      </c>
    </row>
    <row r="1553" spans="1:8" s="3" customFormat="1" ht="12">
      <c r="A1553" s="41">
        <f t="shared" si="24"/>
        <v>2</v>
      </c>
      <c r="B1553" s="41" t="s">
        <v>1386</v>
      </c>
      <c r="C1553" s="1" t="s">
        <v>1074</v>
      </c>
      <c r="D1553" s="2" t="s">
        <v>814</v>
      </c>
      <c r="E1553" s="26" t="s">
        <v>1227</v>
      </c>
      <c r="F1553" s="19">
        <v>0</v>
      </c>
      <c r="G1553" s="19"/>
      <c r="H1553" s="17">
        <f>ROUND((P_2_169 Qté)*(P_2_169 PU),2)</f>
        <v>0</v>
      </c>
    </row>
    <row r="1554" spans="1:8" s="3" customFormat="1" ht="12">
      <c r="A1554" s="41">
        <f t="shared" si="24"/>
        <v>2</v>
      </c>
      <c r="B1554" s="41" t="s">
        <v>1386</v>
      </c>
      <c r="C1554" s="1" t="s">
        <v>1075</v>
      </c>
      <c r="D1554" s="2" t="s">
        <v>815</v>
      </c>
      <c r="E1554" s="26" t="s">
        <v>1227</v>
      </c>
      <c r="F1554" s="19">
        <v>0</v>
      </c>
      <c r="G1554" s="19"/>
      <c r="H1554" s="17">
        <f>ROUND((P_2_170 Qté)*(P_2_170 PU),2)</f>
        <v>0</v>
      </c>
    </row>
    <row r="1555" spans="1:8" s="3" customFormat="1" ht="12">
      <c r="A1555" s="41">
        <f t="shared" si="24"/>
        <v>2</v>
      </c>
      <c r="B1555" s="41" t="s">
        <v>1386</v>
      </c>
      <c r="C1555" s="1" t="s">
        <v>1076</v>
      </c>
      <c r="D1555" s="2" t="s">
        <v>816</v>
      </c>
      <c r="E1555" s="26" t="s">
        <v>1227</v>
      </c>
      <c r="F1555" s="19">
        <v>0</v>
      </c>
      <c r="G1555" s="19"/>
      <c r="H1555" s="17">
        <f>ROUND((P_2_171 Qté)*(P_2_171 PU),2)</f>
        <v>0</v>
      </c>
    </row>
    <row r="1556" spans="1:8" s="3" customFormat="1" ht="12">
      <c r="A1556" s="41">
        <f t="shared" si="24"/>
        <v>2</v>
      </c>
      <c r="B1556" s="41" t="s">
        <v>1386</v>
      </c>
      <c r="C1556" s="1" t="s">
        <v>1077</v>
      </c>
      <c r="D1556" s="2" t="s">
        <v>817</v>
      </c>
      <c r="E1556" s="26" t="s">
        <v>1227</v>
      </c>
      <c r="F1556" s="19">
        <v>0</v>
      </c>
      <c r="G1556" s="19"/>
      <c r="H1556" s="17">
        <f>ROUND((P_2_172 Qté)*(P_2_172 PU),2)</f>
        <v>0</v>
      </c>
    </row>
    <row r="1557" spans="1:8" s="3" customFormat="1" ht="12">
      <c r="A1557" s="41">
        <f t="shared" si="24"/>
        <v>2</v>
      </c>
      <c r="B1557" s="41" t="s">
        <v>1386</v>
      </c>
      <c r="C1557" s="1" t="s">
        <v>1078</v>
      </c>
      <c r="D1557" s="2" t="s">
        <v>818</v>
      </c>
      <c r="E1557" s="26" t="s">
        <v>1227</v>
      </c>
      <c r="F1557" s="19">
        <v>0</v>
      </c>
      <c r="G1557" s="19"/>
      <c r="H1557" s="17">
        <f>ROUND((P_2_173 Qté)*(P_2_173 PU),2)</f>
        <v>0</v>
      </c>
    </row>
    <row r="1558" spans="1:8" s="3" customFormat="1" ht="12">
      <c r="A1558" s="41">
        <f t="shared" si="24"/>
        <v>2</v>
      </c>
      <c r="B1558" s="41" t="s">
        <v>1386</v>
      </c>
      <c r="C1558" s="1" t="s">
        <v>1079</v>
      </c>
      <c r="D1558" s="2" t="s">
        <v>819</v>
      </c>
      <c r="E1558" s="26" t="s">
        <v>1227</v>
      </c>
      <c r="F1558" s="19">
        <v>0</v>
      </c>
      <c r="G1558" s="19"/>
      <c r="H1558" s="17">
        <f>ROUND((P_2_174 Qté)*(P_2_174 PU),2)</f>
        <v>0</v>
      </c>
    </row>
    <row r="1559" spans="1:8" s="3" customFormat="1" ht="12">
      <c r="A1559" s="41">
        <f t="shared" si="24"/>
        <v>2</v>
      </c>
      <c r="B1559" s="41" t="s">
        <v>1386</v>
      </c>
      <c r="C1559" s="1" t="s">
        <v>1080</v>
      </c>
      <c r="D1559" s="2" t="s">
        <v>820</v>
      </c>
      <c r="E1559" s="26" t="s">
        <v>1227</v>
      </c>
      <c r="F1559" s="19">
        <v>0</v>
      </c>
      <c r="G1559" s="19"/>
      <c r="H1559" s="17">
        <f>ROUND((P_2_175 Qté)*(P_2_175 PU),2)</f>
        <v>0</v>
      </c>
    </row>
    <row r="1560" spans="1:8" s="40" customFormat="1" ht="12">
      <c r="A1560" s="39">
        <f t="shared" si="24"/>
        <v>2</v>
      </c>
      <c r="B1560" s="39" t="s">
        <v>1385</v>
      </c>
      <c r="C1560" s="7" t="s">
        <v>1127</v>
      </c>
      <c r="D1560" s="8" t="s">
        <v>821</v>
      </c>
      <c r="E1560" s="25" t="s">
        <v>1127</v>
      </c>
      <c r="F1560" s="18"/>
      <c r="G1560" s="18"/>
      <c r="H1560" s="17"/>
    </row>
    <row r="1561" spans="1:8" s="40" customFormat="1" ht="348">
      <c r="A1561" s="39">
        <f t="shared" si="24"/>
        <v>2</v>
      </c>
      <c r="B1561" s="39" t="s">
        <v>1385</v>
      </c>
      <c r="C1561" s="7" t="s">
        <v>1127</v>
      </c>
      <c r="D1561" s="8" t="s">
        <v>1368</v>
      </c>
      <c r="E1561" s="25" t="s">
        <v>1127</v>
      </c>
      <c r="F1561" s="18"/>
      <c r="G1561" s="18"/>
      <c r="H1561" s="17"/>
    </row>
    <row r="1562" spans="1:8" s="40" customFormat="1" ht="12">
      <c r="A1562" s="39">
        <f t="shared" si="24"/>
        <v>2</v>
      </c>
      <c r="B1562" s="39" t="s">
        <v>1385</v>
      </c>
      <c r="C1562" s="7" t="s">
        <v>1127</v>
      </c>
      <c r="D1562" s="8" t="s">
        <v>822</v>
      </c>
      <c r="E1562" s="25" t="s">
        <v>1127</v>
      </c>
      <c r="F1562" s="18"/>
      <c r="G1562" s="18"/>
      <c r="H1562" s="17"/>
    </row>
    <row r="1563" spans="1:8" s="40" customFormat="1" ht="24">
      <c r="A1563" s="39">
        <f t="shared" si="24"/>
        <v>2</v>
      </c>
      <c r="B1563" s="39" t="s">
        <v>1385</v>
      </c>
      <c r="C1563" s="7" t="s">
        <v>1127</v>
      </c>
      <c r="D1563" s="8" t="s">
        <v>823</v>
      </c>
      <c r="E1563" s="25" t="s">
        <v>1127</v>
      </c>
      <c r="F1563" s="18"/>
      <c r="G1563" s="18"/>
      <c r="H1563" s="17"/>
    </row>
    <row r="1564" spans="1:8" s="3" customFormat="1" ht="12">
      <c r="A1564" s="41">
        <f t="shared" si="24"/>
        <v>2</v>
      </c>
      <c r="B1564" s="41" t="s">
        <v>1386</v>
      </c>
      <c r="C1564" s="1" t="s">
        <v>1081</v>
      </c>
      <c r="D1564" s="2" t="s">
        <v>824</v>
      </c>
      <c r="E1564" s="26" t="s">
        <v>1227</v>
      </c>
      <c r="F1564" s="19">
        <v>0</v>
      </c>
      <c r="G1564" s="19"/>
      <c r="H1564" s="17">
        <f>ROUND((P_2_176 Qté)*(P_2_176 PU),2)</f>
        <v>0</v>
      </c>
    </row>
    <row r="1565" spans="1:8" s="3" customFormat="1" ht="12">
      <c r="A1565" s="41">
        <f t="shared" si="24"/>
        <v>2</v>
      </c>
      <c r="B1565" s="41" t="s">
        <v>1386</v>
      </c>
      <c r="C1565" s="1" t="s">
        <v>1082</v>
      </c>
      <c r="D1565" s="2" t="s">
        <v>825</v>
      </c>
      <c r="E1565" s="26" t="s">
        <v>1227</v>
      </c>
      <c r="F1565" s="19">
        <v>0</v>
      </c>
      <c r="G1565" s="19"/>
      <c r="H1565" s="17">
        <f>ROUND((P_2_177 Qté)*(P_2_177 PU),2)</f>
        <v>0</v>
      </c>
    </row>
    <row r="1566" spans="1:8" s="3" customFormat="1" ht="12">
      <c r="A1566" s="41">
        <f t="shared" si="24"/>
        <v>2</v>
      </c>
      <c r="B1566" s="41" t="s">
        <v>1386</v>
      </c>
      <c r="C1566" s="1" t="s">
        <v>1083</v>
      </c>
      <c r="D1566" s="2" t="s">
        <v>826</v>
      </c>
      <c r="E1566" s="26" t="s">
        <v>1227</v>
      </c>
      <c r="F1566" s="19">
        <v>0</v>
      </c>
      <c r="G1566" s="19"/>
      <c r="H1566" s="17">
        <f>ROUND((P_2_178 Qté)*(P_2_178 PU),2)</f>
        <v>0</v>
      </c>
    </row>
    <row r="1567" spans="1:8" s="3" customFormat="1" ht="12">
      <c r="A1567" s="41">
        <f t="shared" si="24"/>
        <v>2</v>
      </c>
      <c r="B1567" s="41" t="s">
        <v>1386</v>
      </c>
      <c r="C1567" s="1" t="s">
        <v>1084</v>
      </c>
      <c r="D1567" s="2" t="s">
        <v>827</v>
      </c>
      <c r="E1567" s="26" t="s">
        <v>1227</v>
      </c>
      <c r="F1567" s="19">
        <v>0</v>
      </c>
      <c r="G1567" s="19"/>
      <c r="H1567" s="17">
        <f>ROUND((P_2_179 Qté)*(P_2_179 PU),2)</f>
        <v>0</v>
      </c>
    </row>
    <row r="1568" spans="1:8" s="3" customFormat="1" ht="12">
      <c r="A1568" s="41">
        <f t="shared" si="24"/>
        <v>2</v>
      </c>
      <c r="B1568" s="41" t="s">
        <v>1386</v>
      </c>
      <c r="C1568" s="1" t="s">
        <v>1085</v>
      </c>
      <c r="D1568" s="2" t="s">
        <v>828</v>
      </c>
      <c r="E1568" s="26" t="s">
        <v>1227</v>
      </c>
      <c r="F1568" s="19">
        <v>0</v>
      </c>
      <c r="G1568" s="19"/>
      <c r="H1568" s="17">
        <f>ROUND((P_2_180 Qté)*(P_2_180 PU),2)</f>
        <v>0</v>
      </c>
    </row>
    <row r="1569" spans="1:8" s="3" customFormat="1" ht="12">
      <c r="A1569" s="41">
        <f t="shared" si="24"/>
        <v>2</v>
      </c>
      <c r="B1569" s="41" t="s">
        <v>1386</v>
      </c>
      <c r="C1569" s="1" t="s">
        <v>1086</v>
      </c>
      <c r="D1569" s="2" t="s">
        <v>829</v>
      </c>
      <c r="E1569" s="26" t="s">
        <v>1227</v>
      </c>
      <c r="F1569" s="19">
        <v>0</v>
      </c>
      <c r="G1569" s="19"/>
      <c r="H1569" s="17">
        <f>ROUND((P_2_181 Qté)*(P_2_181 PU),2)</f>
        <v>0</v>
      </c>
    </row>
    <row r="1570" spans="1:8" s="3" customFormat="1" ht="12">
      <c r="A1570" s="41">
        <f t="shared" si="24"/>
        <v>2</v>
      </c>
      <c r="B1570" s="41" t="s">
        <v>1386</v>
      </c>
      <c r="C1570" s="1" t="s">
        <v>1087</v>
      </c>
      <c r="D1570" s="2" t="s">
        <v>830</v>
      </c>
      <c r="E1570" s="26" t="s">
        <v>1227</v>
      </c>
      <c r="F1570" s="19">
        <v>0</v>
      </c>
      <c r="G1570" s="19"/>
      <c r="H1570" s="17">
        <f>ROUND((P_2_182 Qté)*(P_2_182 PU),2)</f>
        <v>0</v>
      </c>
    </row>
    <row r="1571" spans="1:8" s="40" customFormat="1" ht="12">
      <c r="A1571" s="39">
        <f t="shared" si="24"/>
        <v>2</v>
      </c>
      <c r="B1571" s="39" t="s">
        <v>1385</v>
      </c>
      <c r="C1571" s="7" t="s">
        <v>1127</v>
      </c>
      <c r="D1571" s="8" t="s">
        <v>831</v>
      </c>
      <c r="E1571" s="25" t="s">
        <v>1127</v>
      </c>
      <c r="F1571" s="18"/>
      <c r="G1571" s="18"/>
      <c r="H1571" s="17"/>
    </row>
    <row r="1572" spans="1:8" s="3" customFormat="1" ht="12">
      <c r="A1572" s="41">
        <f t="shared" si="24"/>
        <v>2</v>
      </c>
      <c r="B1572" s="41" t="s">
        <v>1386</v>
      </c>
      <c r="C1572" s="1" t="s">
        <v>1088</v>
      </c>
      <c r="D1572" s="2" t="s">
        <v>832</v>
      </c>
      <c r="E1572" s="26" t="s">
        <v>1227</v>
      </c>
      <c r="F1572" s="19">
        <v>0</v>
      </c>
      <c r="G1572" s="19"/>
      <c r="H1572" s="17">
        <f>ROUND((P_2_183 Qté)*(P_2_183 PU),2)</f>
        <v>0</v>
      </c>
    </row>
    <row r="1573" spans="1:8" s="3" customFormat="1" ht="12">
      <c r="A1573" s="41">
        <f t="shared" si="24"/>
        <v>2</v>
      </c>
      <c r="B1573" s="41" t="s">
        <v>1386</v>
      </c>
      <c r="C1573" s="1" t="s">
        <v>1089</v>
      </c>
      <c r="D1573" s="2" t="s">
        <v>833</v>
      </c>
      <c r="E1573" s="26" t="s">
        <v>1227</v>
      </c>
      <c r="F1573" s="19">
        <v>0</v>
      </c>
      <c r="G1573" s="19"/>
      <c r="H1573" s="17">
        <f>ROUND((P_2_184 Qté)*(P_2_184 PU),2)</f>
        <v>0</v>
      </c>
    </row>
    <row r="1574" spans="1:8" s="3" customFormat="1" ht="12">
      <c r="A1574" s="41">
        <f t="shared" si="24"/>
        <v>2</v>
      </c>
      <c r="B1574" s="41" t="s">
        <v>1386</v>
      </c>
      <c r="C1574" s="1" t="s">
        <v>1090</v>
      </c>
      <c r="D1574" s="2" t="s">
        <v>834</v>
      </c>
      <c r="E1574" s="26" t="s">
        <v>1227</v>
      </c>
      <c r="F1574" s="19">
        <v>0</v>
      </c>
      <c r="G1574" s="19"/>
      <c r="H1574" s="17">
        <f>ROUND((P_2_185 Qté)*(P_2_185 PU),2)</f>
        <v>0</v>
      </c>
    </row>
    <row r="1575" spans="1:8" s="3" customFormat="1" ht="12">
      <c r="A1575" s="41">
        <f t="shared" si="24"/>
        <v>2</v>
      </c>
      <c r="B1575" s="41" t="s">
        <v>1386</v>
      </c>
      <c r="C1575" s="1" t="s">
        <v>1091</v>
      </c>
      <c r="D1575" s="2" t="s">
        <v>835</v>
      </c>
      <c r="E1575" s="26" t="s">
        <v>1227</v>
      </c>
      <c r="F1575" s="19">
        <v>0</v>
      </c>
      <c r="G1575" s="19"/>
      <c r="H1575" s="17">
        <f>ROUND((P_2_186 Qté)*(P_2_186 PU),2)</f>
        <v>0</v>
      </c>
    </row>
    <row r="1576" spans="1:8" s="3" customFormat="1" ht="12">
      <c r="A1576" s="41">
        <f t="shared" si="24"/>
        <v>2</v>
      </c>
      <c r="B1576" s="41" t="s">
        <v>1386</v>
      </c>
      <c r="C1576" s="1" t="s">
        <v>1092</v>
      </c>
      <c r="D1576" s="2" t="s">
        <v>836</v>
      </c>
      <c r="E1576" s="26" t="s">
        <v>1227</v>
      </c>
      <c r="F1576" s="19">
        <v>0</v>
      </c>
      <c r="G1576" s="19"/>
      <c r="H1576" s="17">
        <f>ROUND((P_2_187 Qté)*(P_2_187 PU),2)</f>
        <v>0</v>
      </c>
    </row>
    <row r="1577" spans="1:8" s="3" customFormat="1" ht="12">
      <c r="A1577" s="41">
        <f t="shared" si="24"/>
        <v>2</v>
      </c>
      <c r="B1577" s="41" t="s">
        <v>1386</v>
      </c>
      <c r="C1577" s="1" t="s">
        <v>1093</v>
      </c>
      <c r="D1577" s="2" t="s">
        <v>837</v>
      </c>
      <c r="E1577" s="26" t="s">
        <v>1227</v>
      </c>
      <c r="F1577" s="19">
        <v>0</v>
      </c>
      <c r="G1577" s="19"/>
      <c r="H1577" s="17">
        <f>ROUND((P_2_188 Qté)*(P_2_188 PU),2)</f>
        <v>0</v>
      </c>
    </row>
    <row r="1578" spans="1:8" s="3" customFormat="1" ht="12">
      <c r="A1578" s="41">
        <f t="shared" si="24"/>
        <v>2</v>
      </c>
      <c r="B1578" s="41" t="s">
        <v>1386</v>
      </c>
      <c r="C1578" s="1" t="s">
        <v>1094</v>
      </c>
      <c r="D1578" s="2" t="s">
        <v>838</v>
      </c>
      <c r="E1578" s="26" t="s">
        <v>1227</v>
      </c>
      <c r="F1578" s="19">
        <v>0</v>
      </c>
      <c r="G1578" s="19"/>
      <c r="H1578" s="17">
        <f>ROUND((P_2_189 Qté)*(P_2_189 PU),2)</f>
        <v>0</v>
      </c>
    </row>
    <row r="1579" spans="1:8" s="40" customFormat="1" ht="24">
      <c r="A1579" s="39">
        <f t="shared" si="24"/>
        <v>2</v>
      </c>
      <c r="B1579" s="39" t="s">
        <v>1385</v>
      </c>
      <c r="C1579" s="7" t="s">
        <v>1127</v>
      </c>
      <c r="D1579" s="8" t="s">
        <v>839</v>
      </c>
      <c r="E1579" s="25" t="s">
        <v>1127</v>
      </c>
      <c r="F1579" s="18"/>
      <c r="G1579" s="18"/>
      <c r="H1579" s="17"/>
    </row>
    <row r="1580" spans="1:8" s="3" customFormat="1" ht="12">
      <c r="A1580" s="41">
        <f t="shared" si="24"/>
        <v>2</v>
      </c>
      <c r="B1580" s="41" t="s">
        <v>1386</v>
      </c>
      <c r="C1580" s="1" t="s">
        <v>1095</v>
      </c>
      <c r="D1580" s="2" t="s">
        <v>840</v>
      </c>
      <c r="E1580" s="26" t="s">
        <v>1227</v>
      </c>
      <c r="F1580" s="19">
        <v>0</v>
      </c>
      <c r="G1580" s="19"/>
      <c r="H1580" s="17">
        <f>ROUND((P_2_190 Qté)*(P_2_190 PU),2)</f>
        <v>0</v>
      </c>
    </row>
    <row r="1581" spans="1:8" s="3" customFormat="1" ht="12">
      <c r="A1581" s="41">
        <f t="shared" si="24"/>
        <v>2</v>
      </c>
      <c r="B1581" s="41" t="s">
        <v>1386</v>
      </c>
      <c r="C1581" s="1" t="s">
        <v>1096</v>
      </c>
      <c r="D1581" s="2" t="s">
        <v>841</v>
      </c>
      <c r="E1581" s="26" t="s">
        <v>1227</v>
      </c>
      <c r="F1581" s="19">
        <v>0</v>
      </c>
      <c r="G1581" s="19"/>
      <c r="H1581" s="17">
        <f>ROUND((P_2_191 Qté)*(P_2_191 PU),2)</f>
        <v>0</v>
      </c>
    </row>
    <row r="1582" spans="1:8" s="3" customFormat="1" ht="12">
      <c r="A1582" s="41">
        <f t="shared" si="24"/>
        <v>2</v>
      </c>
      <c r="B1582" s="41" t="s">
        <v>1386</v>
      </c>
      <c r="C1582" s="1" t="s">
        <v>1097</v>
      </c>
      <c r="D1582" s="2" t="s">
        <v>842</v>
      </c>
      <c r="E1582" s="26" t="s">
        <v>1227</v>
      </c>
      <c r="F1582" s="19">
        <v>0</v>
      </c>
      <c r="G1582" s="19"/>
      <c r="H1582" s="17">
        <f>ROUND((P_2_192 Qté)*(P_2_192 PU),2)</f>
        <v>0</v>
      </c>
    </row>
    <row r="1583" spans="1:8" s="40" customFormat="1" ht="12">
      <c r="A1583" s="39">
        <f t="shared" si="24"/>
        <v>2</v>
      </c>
      <c r="B1583" s="39" t="s">
        <v>1385</v>
      </c>
      <c r="C1583" s="7" t="s">
        <v>1127</v>
      </c>
      <c r="D1583" s="8" t="s">
        <v>1347</v>
      </c>
      <c r="E1583" s="25" t="s">
        <v>1127</v>
      </c>
      <c r="F1583" s="18"/>
      <c r="G1583" s="18"/>
      <c r="H1583" s="17"/>
    </row>
    <row r="1584" spans="1:8" s="40" customFormat="1" ht="12">
      <c r="A1584" s="39">
        <f aca="true" t="shared" si="25" ref="A1584:A1643">A1583</f>
        <v>2</v>
      </c>
      <c r="B1584" s="39" t="s">
        <v>1385</v>
      </c>
      <c r="C1584" s="7" t="s">
        <v>1127</v>
      </c>
      <c r="D1584" s="8" t="s">
        <v>1474</v>
      </c>
      <c r="E1584" s="25" t="s">
        <v>1127</v>
      </c>
      <c r="F1584" s="18"/>
      <c r="G1584" s="18"/>
      <c r="H1584" s="17"/>
    </row>
    <row r="1585" spans="1:8" s="3" customFormat="1" ht="12">
      <c r="A1585" s="41">
        <f t="shared" si="25"/>
        <v>2</v>
      </c>
      <c r="B1585" s="41" t="s">
        <v>1386</v>
      </c>
      <c r="C1585" s="1" t="s">
        <v>1098</v>
      </c>
      <c r="D1585" s="2" t="s">
        <v>1475</v>
      </c>
      <c r="E1585" s="26" t="s">
        <v>1227</v>
      </c>
      <c r="F1585" s="19">
        <v>0</v>
      </c>
      <c r="G1585" s="19"/>
      <c r="H1585" s="17">
        <f>ROUND((P_2_193 Qté)*(P_2_193 PU),2)</f>
        <v>0</v>
      </c>
    </row>
    <row r="1586" spans="1:8" s="40" customFormat="1" ht="12">
      <c r="A1586" s="39">
        <f t="shared" si="25"/>
        <v>2</v>
      </c>
      <c r="B1586" s="39" t="s">
        <v>1385</v>
      </c>
      <c r="C1586" s="7" t="s">
        <v>1127</v>
      </c>
      <c r="D1586" s="8" t="s">
        <v>1476</v>
      </c>
      <c r="E1586" s="25" t="s">
        <v>1127</v>
      </c>
      <c r="F1586" s="18"/>
      <c r="G1586" s="18"/>
      <c r="H1586" s="17"/>
    </row>
    <row r="1587" spans="1:8" s="3" customFormat="1" ht="12">
      <c r="A1587" s="41">
        <f t="shared" si="25"/>
        <v>2</v>
      </c>
      <c r="B1587" s="41" t="s">
        <v>1386</v>
      </c>
      <c r="C1587" s="1" t="s">
        <v>1099</v>
      </c>
      <c r="D1587" s="2" t="s">
        <v>1477</v>
      </c>
      <c r="E1587" s="26" t="s">
        <v>1227</v>
      </c>
      <c r="F1587" s="19">
        <v>0</v>
      </c>
      <c r="G1587" s="19"/>
      <c r="H1587" s="17">
        <f>ROUND((P_2_194 Qté)*(P_2_194 PU),2)</f>
        <v>0</v>
      </c>
    </row>
    <row r="1588" spans="1:8" s="3" customFormat="1" ht="12">
      <c r="A1588" s="41">
        <f t="shared" si="25"/>
        <v>2</v>
      </c>
      <c r="B1588" s="41" t="s">
        <v>1386</v>
      </c>
      <c r="C1588" s="1" t="s">
        <v>1100</v>
      </c>
      <c r="D1588" s="2" t="s">
        <v>1475</v>
      </c>
      <c r="E1588" s="26" t="s">
        <v>1227</v>
      </c>
      <c r="F1588" s="19">
        <v>0</v>
      </c>
      <c r="G1588" s="19"/>
      <c r="H1588" s="17">
        <f>ROUND((P_2_195 Qté)*(P_2_195 PU),2)</f>
        <v>0</v>
      </c>
    </row>
    <row r="1589" spans="1:8" s="40" customFormat="1" ht="12">
      <c r="A1589" s="39">
        <f t="shared" si="25"/>
        <v>2</v>
      </c>
      <c r="B1589" s="39" t="s">
        <v>1385</v>
      </c>
      <c r="C1589" s="7" t="s">
        <v>1127</v>
      </c>
      <c r="D1589" s="8" t="s">
        <v>1478</v>
      </c>
      <c r="E1589" s="25" t="s">
        <v>1127</v>
      </c>
      <c r="F1589" s="18"/>
      <c r="G1589" s="18"/>
      <c r="H1589" s="17"/>
    </row>
    <row r="1590" spans="1:8" s="3" customFormat="1" ht="12">
      <c r="A1590" s="41">
        <f t="shared" si="25"/>
        <v>2</v>
      </c>
      <c r="B1590" s="41" t="s">
        <v>1386</v>
      </c>
      <c r="C1590" s="1" t="s">
        <v>1101</v>
      </c>
      <c r="D1590" s="2" t="s">
        <v>1475</v>
      </c>
      <c r="E1590" s="26" t="s">
        <v>1227</v>
      </c>
      <c r="F1590" s="19">
        <v>0</v>
      </c>
      <c r="G1590" s="19"/>
      <c r="H1590" s="17">
        <f>ROUND((P_2_196 Qté)*(P_2_196 PU),2)</f>
        <v>0</v>
      </c>
    </row>
    <row r="1591" spans="1:8" s="40" customFormat="1" ht="12">
      <c r="A1591" s="39">
        <f t="shared" si="25"/>
        <v>2</v>
      </c>
      <c r="B1591" s="39" t="s">
        <v>1385</v>
      </c>
      <c r="C1591" s="7" t="s">
        <v>1127</v>
      </c>
      <c r="D1591" s="8" t="s">
        <v>1479</v>
      </c>
      <c r="E1591" s="25" t="s">
        <v>1127</v>
      </c>
      <c r="F1591" s="18"/>
      <c r="G1591" s="18"/>
      <c r="H1591" s="17"/>
    </row>
    <row r="1592" spans="1:8" s="40" customFormat="1" ht="12">
      <c r="A1592" s="39">
        <f t="shared" si="25"/>
        <v>2</v>
      </c>
      <c r="B1592" s="39" t="s">
        <v>1385</v>
      </c>
      <c r="C1592" s="7" t="s">
        <v>1127</v>
      </c>
      <c r="D1592" s="8" t="s">
        <v>1480</v>
      </c>
      <c r="E1592" s="25" t="s">
        <v>1127</v>
      </c>
      <c r="F1592" s="18"/>
      <c r="G1592" s="18"/>
      <c r="H1592" s="17"/>
    </row>
    <row r="1593" spans="1:8" s="3" customFormat="1" ht="12">
      <c r="A1593" s="41">
        <f t="shared" si="25"/>
        <v>2</v>
      </c>
      <c r="B1593" s="41" t="s">
        <v>1386</v>
      </c>
      <c r="C1593" s="1" t="s">
        <v>1102</v>
      </c>
      <c r="D1593" s="2" t="s">
        <v>1481</v>
      </c>
      <c r="E1593" s="26" t="s">
        <v>1227</v>
      </c>
      <c r="F1593" s="19">
        <v>0</v>
      </c>
      <c r="G1593" s="19"/>
      <c r="H1593" s="17">
        <f>ROUND((P_2_197 Qté)*(P_2_197 PU),2)</f>
        <v>0</v>
      </c>
    </row>
    <row r="1594" spans="1:8" s="3" customFormat="1" ht="24">
      <c r="A1594" s="41">
        <f t="shared" si="25"/>
        <v>2</v>
      </c>
      <c r="B1594" s="41" t="s">
        <v>1386</v>
      </c>
      <c r="C1594" s="1" t="s">
        <v>1103</v>
      </c>
      <c r="D1594" s="2" t="s">
        <v>1482</v>
      </c>
      <c r="E1594" s="26" t="s">
        <v>1227</v>
      </c>
      <c r="F1594" s="19">
        <v>0</v>
      </c>
      <c r="G1594" s="19"/>
      <c r="H1594" s="17">
        <f>ROUND((P_2_198 Qté)*(P_2_198 PU),2)</f>
        <v>0</v>
      </c>
    </row>
    <row r="1595" spans="1:8" s="40" customFormat="1" ht="12">
      <c r="A1595" s="39">
        <f t="shared" si="25"/>
        <v>2</v>
      </c>
      <c r="B1595" s="39" t="s">
        <v>1385</v>
      </c>
      <c r="C1595" s="7" t="s">
        <v>1127</v>
      </c>
      <c r="D1595" s="8" t="s">
        <v>1483</v>
      </c>
      <c r="E1595" s="25" t="s">
        <v>1127</v>
      </c>
      <c r="F1595" s="18"/>
      <c r="G1595" s="18"/>
      <c r="H1595" s="17"/>
    </row>
    <row r="1596" spans="1:8" s="3" customFormat="1" ht="12">
      <c r="A1596" s="41">
        <f t="shared" si="25"/>
        <v>2</v>
      </c>
      <c r="B1596" s="41" t="s">
        <v>1386</v>
      </c>
      <c r="C1596" s="1" t="s">
        <v>1104</v>
      </c>
      <c r="D1596" s="2" t="s">
        <v>1484</v>
      </c>
      <c r="E1596" s="26" t="s">
        <v>1227</v>
      </c>
      <c r="F1596" s="19">
        <v>0</v>
      </c>
      <c r="G1596" s="19"/>
      <c r="H1596" s="17">
        <f>ROUND((P_2_199 Qté)*(P_2_199 PU),2)</f>
        <v>0</v>
      </c>
    </row>
    <row r="1597" spans="1:8" s="40" customFormat="1" ht="12">
      <c r="A1597" s="39">
        <f t="shared" si="25"/>
        <v>2</v>
      </c>
      <c r="B1597" s="39" t="s">
        <v>1385</v>
      </c>
      <c r="C1597" s="7" t="s">
        <v>1127</v>
      </c>
      <c r="D1597" s="8" t="s">
        <v>1485</v>
      </c>
      <c r="E1597" s="25" t="s">
        <v>1127</v>
      </c>
      <c r="F1597" s="18"/>
      <c r="G1597" s="18"/>
      <c r="H1597" s="17"/>
    </row>
    <row r="1598" spans="1:8" s="40" customFormat="1" ht="12">
      <c r="A1598" s="39">
        <f t="shared" si="25"/>
        <v>2</v>
      </c>
      <c r="B1598" s="39" t="s">
        <v>1385</v>
      </c>
      <c r="C1598" s="7" t="s">
        <v>1127</v>
      </c>
      <c r="D1598" s="8" t="s">
        <v>1480</v>
      </c>
      <c r="E1598" s="25" t="s">
        <v>1127</v>
      </c>
      <c r="F1598" s="18"/>
      <c r="G1598" s="18"/>
      <c r="H1598" s="17"/>
    </row>
    <row r="1599" spans="1:8" s="3" customFormat="1" ht="12">
      <c r="A1599" s="41">
        <f t="shared" si="25"/>
        <v>2</v>
      </c>
      <c r="B1599" s="41" t="s">
        <v>1386</v>
      </c>
      <c r="C1599" s="1" t="s">
        <v>1105</v>
      </c>
      <c r="D1599" s="2" t="s">
        <v>1481</v>
      </c>
      <c r="E1599" s="26" t="s">
        <v>1227</v>
      </c>
      <c r="F1599" s="19">
        <v>0</v>
      </c>
      <c r="G1599" s="19"/>
      <c r="H1599" s="17">
        <f>ROUND((P_2_200 Qté)*(P_2_200 PU),2)</f>
        <v>0</v>
      </c>
    </row>
    <row r="1600" spans="1:8" s="3" customFormat="1" ht="12">
      <c r="A1600" s="41">
        <f t="shared" si="25"/>
        <v>2</v>
      </c>
      <c r="B1600" s="41" t="s">
        <v>1386</v>
      </c>
      <c r="C1600" s="1" t="s">
        <v>1106</v>
      </c>
      <c r="D1600" s="2" t="s">
        <v>1486</v>
      </c>
      <c r="E1600" s="26" t="s">
        <v>1227</v>
      </c>
      <c r="F1600" s="19">
        <v>0</v>
      </c>
      <c r="G1600" s="19"/>
      <c r="H1600" s="17">
        <f>ROUND((P_2_201 Qté)*(P_2_201 PU),2)</f>
        <v>0</v>
      </c>
    </row>
    <row r="1601" spans="1:8" s="40" customFormat="1" ht="12">
      <c r="A1601" s="39">
        <f t="shared" si="25"/>
        <v>2</v>
      </c>
      <c r="B1601" s="39" t="s">
        <v>1385</v>
      </c>
      <c r="C1601" s="7" t="s">
        <v>1127</v>
      </c>
      <c r="D1601" s="8" t="s">
        <v>1487</v>
      </c>
      <c r="E1601" s="25" t="s">
        <v>1127</v>
      </c>
      <c r="F1601" s="18"/>
      <c r="G1601" s="18"/>
      <c r="H1601" s="17"/>
    </row>
    <row r="1602" spans="1:8" s="40" customFormat="1" ht="24">
      <c r="A1602" s="39">
        <f t="shared" si="25"/>
        <v>2</v>
      </c>
      <c r="B1602" s="39" t="s">
        <v>1385</v>
      </c>
      <c r="C1602" s="7" t="s">
        <v>1127</v>
      </c>
      <c r="D1602" s="8" t="s">
        <v>1488</v>
      </c>
      <c r="E1602" s="25" t="s">
        <v>1127</v>
      </c>
      <c r="F1602" s="18"/>
      <c r="G1602" s="18"/>
      <c r="H1602" s="17"/>
    </row>
    <row r="1603" spans="1:8" s="40" customFormat="1" ht="84">
      <c r="A1603" s="39">
        <f t="shared" si="25"/>
        <v>2</v>
      </c>
      <c r="B1603" s="39" t="s">
        <v>1385</v>
      </c>
      <c r="C1603" s="7" t="s">
        <v>1127</v>
      </c>
      <c r="D1603" s="8" t="s">
        <v>1489</v>
      </c>
      <c r="E1603" s="25" t="s">
        <v>1127</v>
      </c>
      <c r="F1603" s="18"/>
      <c r="G1603" s="18"/>
      <c r="H1603" s="17"/>
    </row>
    <row r="1604" spans="1:8" s="40" customFormat="1" ht="288">
      <c r="A1604" s="39">
        <f t="shared" si="25"/>
        <v>2</v>
      </c>
      <c r="B1604" s="39" t="s">
        <v>1385</v>
      </c>
      <c r="C1604" s="7" t="s">
        <v>1127</v>
      </c>
      <c r="D1604" s="8" t="s">
        <v>1490</v>
      </c>
      <c r="E1604" s="25" t="s">
        <v>1127</v>
      </c>
      <c r="F1604" s="18"/>
      <c r="G1604" s="18"/>
      <c r="H1604" s="17"/>
    </row>
    <row r="1605" spans="1:8" s="40" customFormat="1" ht="12">
      <c r="A1605" s="39">
        <f t="shared" si="25"/>
        <v>2</v>
      </c>
      <c r="B1605" s="39" t="s">
        <v>1385</v>
      </c>
      <c r="C1605" s="7" t="s">
        <v>1127</v>
      </c>
      <c r="D1605" s="8" t="s">
        <v>1491</v>
      </c>
      <c r="E1605" s="25" t="s">
        <v>1127</v>
      </c>
      <c r="F1605" s="18"/>
      <c r="G1605" s="18"/>
      <c r="H1605" s="17"/>
    </row>
    <row r="1606" spans="1:8" s="3" customFormat="1" ht="12">
      <c r="A1606" s="41">
        <f t="shared" si="25"/>
        <v>2</v>
      </c>
      <c r="B1606" s="41" t="s">
        <v>1386</v>
      </c>
      <c r="C1606" s="1" t="s">
        <v>1107</v>
      </c>
      <c r="D1606" s="2" t="s">
        <v>1492</v>
      </c>
      <c r="E1606" s="26" t="s">
        <v>1206</v>
      </c>
      <c r="F1606" s="19">
        <v>0</v>
      </c>
      <c r="G1606" s="19"/>
      <c r="H1606" s="17">
        <f>ROUND((P_2_202 Qté)*(P_2_202 PU),2)</f>
        <v>0</v>
      </c>
    </row>
    <row r="1607" spans="1:8" s="3" customFormat="1" ht="12">
      <c r="A1607" s="41">
        <f t="shared" si="25"/>
        <v>2</v>
      </c>
      <c r="B1607" s="41" t="s">
        <v>1386</v>
      </c>
      <c r="C1607" s="1" t="s">
        <v>1108</v>
      </c>
      <c r="D1607" s="2" t="s">
        <v>1493</v>
      </c>
      <c r="E1607" s="26" t="s">
        <v>1206</v>
      </c>
      <c r="F1607" s="19">
        <v>0</v>
      </c>
      <c r="G1607" s="19"/>
      <c r="H1607" s="17">
        <f>ROUND((P_2_203 Qté)*(P_2_203 PU),2)</f>
        <v>0</v>
      </c>
    </row>
    <row r="1608" spans="1:8" s="3" customFormat="1" ht="12">
      <c r="A1608" s="41">
        <f t="shared" si="25"/>
        <v>2</v>
      </c>
      <c r="B1608" s="41" t="s">
        <v>1386</v>
      </c>
      <c r="C1608" s="1" t="s">
        <v>1109</v>
      </c>
      <c r="D1608" s="2" t="s">
        <v>1494</v>
      </c>
      <c r="E1608" s="26" t="s">
        <v>1206</v>
      </c>
      <c r="F1608" s="19">
        <v>0</v>
      </c>
      <c r="G1608" s="19"/>
      <c r="H1608" s="17">
        <f>ROUND((P_2_204 Qté)*(P_2_204 PU),2)</f>
        <v>0</v>
      </c>
    </row>
    <row r="1609" spans="1:8" s="3" customFormat="1" ht="12">
      <c r="A1609" s="41">
        <f t="shared" si="25"/>
        <v>2</v>
      </c>
      <c r="B1609" s="41" t="s">
        <v>1386</v>
      </c>
      <c r="C1609" s="1" t="s">
        <v>1110</v>
      </c>
      <c r="D1609" s="2" t="s">
        <v>1495</v>
      </c>
      <c r="E1609" s="26" t="s">
        <v>1206</v>
      </c>
      <c r="F1609" s="19">
        <v>0</v>
      </c>
      <c r="G1609" s="19"/>
      <c r="H1609" s="17">
        <f>ROUND((P_2_205 Qté)*(P_2_205 PU),2)</f>
        <v>0</v>
      </c>
    </row>
    <row r="1610" spans="1:8" s="3" customFormat="1" ht="12">
      <c r="A1610" s="41">
        <f t="shared" si="25"/>
        <v>2</v>
      </c>
      <c r="B1610" s="41" t="s">
        <v>1386</v>
      </c>
      <c r="C1610" s="1" t="s">
        <v>1111</v>
      </c>
      <c r="D1610" s="2" t="s">
        <v>1496</v>
      </c>
      <c r="E1610" s="26" t="s">
        <v>1206</v>
      </c>
      <c r="F1610" s="19">
        <v>0</v>
      </c>
      <c r="G1610" s="19"/>
      <c r="H1610" s="17">
        <f>ROUND((P_2_206 Qté)*(P_2_206 PU),2)</f>
        <v>0</v>
      </c>
    </row>
    <row r="1611" spans="1:8" s="40" customFormat="1" ht="84">
      <c r="A1611" s="39">
        <f t="shared" si="25"/>
        <v>2</v>
      </c>
      <c r="B1611" s="39" t="s">
        <v>1385</v>
      </c>
      <c r="C1611" s="7" t="s">
        <v>1127</v>
      </c>
      <c r="D1611" s="8" t="s">
        <v>1497</v>
      </c>
      <c r="E1611" s="25" t="s">
        <v>1127</v>
      </c>
      <c r="F1611" s="18"/>
      <c r="G1611" s="18"/>
      <c r="H1611" s="17"/>
    </row>
    <row r="1612" spans="1:8" s="40" customFormat="1" ht="24">
      <c r="A1612" s="39">
        <f t="shared" si="25"/>
        <v>2</v>
      </c>
      <c r="B1612" s="39" t="s">
        <v>1385</v>
      </c>
      <c r="C1612" s="7" t="s">
        <v>1127</v>
      </c>
      <c r="D1612" s="8" t="s">
        <v>1498</v>
      </c>
      <c r="E1612" s="25" t="s">
        <v>1127</v>
      </c>
      <c r="F1612" s="18"/>
      <c r="G1612" s="18"/>
      <c r="H1612" s="17"/>
    </row>
    <row r="1613" spans="1:8" s="40" customFormat="1" ht="24">
      <c r="A1613" s="39">
        <f t="shared" si="25"/>
        <v>2</v>
      </c>
      <c r="B1613" s="39" t="s">
        <v>1385</v>
      </c>
      <c r="C1613" s="7" t="s">
        <v>1127</v>
      </c>
      <c r="D1613" s="8" t="s">
        <v>1499</v>
      </c>
      <c r="E1613" s="25" t="s">
        <v>1127</v>
      </c>
      <c r="F1613" s="18"/>
      <c r="G1613" s="18"/>
      <c r="H1613" s="17"/>
    </row>
    <row r="1614" spans="1:8" s="3" customFormat="1" ht="12">
      <c r="A1614" s="41">
        <f t="shared" si="25"/>
        <v>2</v>
      </c>
      <c r="B1614" s="41" t="s">
        <v>1386</v>
      </c>
      <c r="C1614" s="1" t="s">
        <v>1112</v>
      </c>
      <c r="D1614" s="2" t="s">
        <v>1369</v>
      </c>
      <c r="E1614" s="26" t="s">
        <v>1206</v>
      </c>
      <c r="F1614" s="19">
        <v>0</v>
      </c>
      <c r="G1614" s="19"/>
      <c r="H1614" s="17">
        <f>ROUND((P_2_207 Qté)*(P_2_207 PU),2)</f>
        <v>0</v>
      </c>
    </row>
    <row r="1615" spans="1:8" s="3" customFormat="1" ht="12">
      <c r="A1615" s="41">
        <f t="shared" si="25"/>
        <v>2</v>
      </c>
      <c r="B1615" s="41" t="s">
        <v>1386</v>
      </c>
      <c r="C1615" s="1" t="s">
        <v>1113</v>
      </c>
      <c r="D1615" s="2" t="s">
        <v>1370</v>
      </c>
      <c r="E1615" s="26" t="s">
        <v>1206</v>
      </c>
      <c r="F1615" s="19">
        <v>0</v>
      </c>
      <c r="G1615" s="19"/>
      <c r="H1615" s="17">
        <f>ROUND((P_2_208 Qté)*(P_2_208 PU),2)</f>
        <v>0</v>
      </c>
    </row>
    <row r="1616" spans="1:8" s="3" customFormat="1" ht="12">
      <c r="A1616" s="41">
        <f t="shared" si="25"/>
        <v>2</v>
      </c>
      <c r="B1616" s="41" t="s">
        <v>1386</v>
      </c>
      <c r="C1616" s="1" t="s">
        <v>1114</v>
      </c>
      <c r="D1616" s="2" t="s">
        <v>1371</v>
      </c>
      <c r="E1616" s="26" t="s">
        <v>1206</v>
      </c>
      <c r="F1616" s="19">
        <v>0</v>
      </c>
      <c r="G1616" s="19"/>
      <c r="H1616" s="17">
        <f>ROUND((P_2_209 Qté)*(P_2_209 PU),2)</f>
        <v>0</v>
      </c>
    </row>
    <row r="1617" spans="1:8" s="40" customFormat="1" ht="36">
      <c r="A1617" s="39">
        <f t="shared" si="25"/>
        <v>2</v>
      </c>
      <c r="B1617" s="39" t="s">
        <v>1385</v>
      </c>
      <c r="C1617" s="7" t="s">
        <v>1127</v>
      </c>
      <c r="D1617" s="8" t="s">
        <v>1500</v>
      </c>
      <c r="E1617" s="25" t="s">
        <v>1127</v>
      </c>
      <c r="F1617" s="18"/>
      <c r="G1617" s="18"/>
      <c r="H1617" s="17"/>
    </row>
    <row r="1618" spans="1:8" s="40" customFormat="1" ht="48">
      <c r="A1618" s="39">
        <f t="shared" si="25"/>
        <v>2</v>
      </c>
      <c r="B1618" s="39" t="s">
        <v>1385</v>
      </c>
      <c r="C1618" s="7" t="s">
        <v>1127</v>
      </c>
      <c r="D1618" s="8" t="s">
        <v>1501</v>
      </c>
      <c r="E1618" s="25" t="s">
        <v>1127</v>
      </c>
      <c r="F1618" s="18"/>
      <c r="G1618" s="18"/>
      <c r="H1618" s="17"/>
    </row>
    <row r="1619" spans="1:8" s="40" customFormat="1" ht="12">
      <c r="A1619" s="39">
        <f t="shared" si="25"/>
        <v>2</v>
      </c>
      <c r="B1619" s="39" t="s">
        <v>1385</v>
      </c>
      <c r="C1619" s="7" t="s">
        <v>1127</v>
      </c>
      <c r="D1619" s="8" t="s">
        <v>1502</v>
      </c>
      <c r="E1619" s="25" t="s">
        <v>1127</v>
      </c>
      <c r="F1619" s="18"/>
      <c r="G1619" s="18"/>
      <c r="H1619" s="17"/>
    </row>
    <row r="1620" spans="1:8" s="40" customFormat="1" ht="12">
      <c r="A1620" s="39">
        <f t="shared" si="25"/>
        <v>2</v>
      </c>
      <c r="B1620" s="39" t="s">
        <v>1385</v>
      </c>
      <c r="C1620" s="7" t="s">
        <v>1127</v>
      </c>
      <c r="D1620" s="8" t="s">
        <v>1503</v>
      </c>
      <c r="E1620" s="25" t="s">
        <v>1127</v>
      </c>
      <c r="F1620" s="18"/>
      <c r="G1620" s="18"/>
      <c r="H1620" s="17"/>
    </row>
    <row r="1621" spans="1:8" s="40" customFormat="1" ht="12">
      <c r="A1621" s="39">
        <f t="shared" si="25"/>
        <v>2</v>
      </c>
      <c r="B1621" s="39" t="s">
        <v>1385</v>
      </c>
      <c r="C1621" s="7" t="s">
        <v>1127</v>
      </c>
      <c r="D1621" s="8" t="s">
        <v>1504</v>
      </c>
      <c r="E1621" s="25" t="s">
        <v>1127</v>
      </c>
      <c r="F1621" s="18"/>
      <c r="G1621" s="18"/>
      <c r="H1621" s="17"/>
    </row>
    <row r="1622" spans="1:8" s="3" customFormat="1" ht="12">
      <c r="A1622" s="41">
        <f t="shared" si="25"/>
        <v>2</v>
      </c>
      <c r="B1622" s="41" t="s">
        <v>1386</v>
      </c>
      <c r="C1622" s="1" t="s">
        <v>1115</v>
      </c>
      <c r="D1622" s="2" t="s">
        <v>1505</v>
      </c>
      <c r="E1622" s="26" t="s">
        <v>1206</v>
      </c>
      <c r="F1622" s="19">
        <v>0</v>
      </c>
      <c r="G1622" s="19"/>
      <c r="H1622" s="17">
        <f>ROUND((P_2_210 Qté)*(P_2_210 PU),2)</f>
        <v>0</v>
      </c>
    </row>
    <row r="1623" spans="1:8" s="3" customFormat="1" ht="12">
      <c r="A1623" s="41">
        <f t="shared" si="25"/>
        <v>2</v>
      </c>
      <c r="B1623" s="41" t="s">
        <v>1386</v>
      </c>
      <c r="C1623" s="1" t="s">
        <v>1116</v>
      </c>
      <c r="D1623" s="2" t="s">
        <v>1506</v>
      </c>
      <c r="E1623" s="26" t="s">
        <v>1206</v>
      </c>
      <c r="F1623" s="19">
        <v>0</v>
      </c>
      <c r="G1623" s="19"/>
      <c r="H1623" s="17">
        <f>ROUND((P_2_211 Qté)*(P_2_211 PU),2)</f>
        <v>0</v>
      </c>
    </row>
    <row r="1624" spans="1:8" s="40" customFormat="1" ht="12">
      <c r="A1624" s="39">
        <f t="shared" si="25"/>
        <v>2</v>
      </c>
      <c r="B1624" s="39" t="s">
        <v>1385</v>
      </c>
      <c r="C1624" s="7" t="s">
        <v>1127</v>
      </c>
      <c r="D1624" s="8" t="s">
        <v>1507</v>
      </c>
      <c r="E1624" s="25" t="s">
        <v>1127</v>
      </c>
      <c r="F1624" s="18"/>
      <c r="G1624" s="18"/>
      <c r="H1624" s="17"/>
    </row>
    <row r="1625" spans="1:8" s="3" customFormat="1" ht="12">
      <c r="A1625" s="41">
        <f t="shared" si="25"/>
        <v>2</v>
      </c>
      <c r="B1625" s="41" t="s">
        <v>1386</v>
      </c>
      <c r="C1625" s="1" t="s">
        <v>1117</v>
      </c>
      <c r="D1625" s="2" t="s">
        <v>1508</v>
      </c>
      <c r="E1625" s="26" t="s">
        <v>1206</v>
      </c>
      <c r="F1625" s="19">
        <v>0</v>
      </c>
      <c r="G1625" s="19"/>
      <c r="H1625" s="17">
        <f>ROUND((P_2_212 Qté)*(P_2_212 PU),2)</f>
        <v>0</v>
      </c>
    </row>
    <row r="1626" spans="1:8" s="40" customFormat="1" ht="24">
      <c r="A1626" s="39">
        <f t="shared" si="25"/>
        <v>2</v>
      </c>
      <c r="B1626" s="39" t="s">
        <v>1385</v>
      </c>
      <c r="C1626" s="7" t="s">
        <v>1127</v>
      </c>
      <c r="D1626" s="8" t="s">
        <v>1336</v>
      </c>
      <c r="E1626" s="25" t="s">
        <v>1127</v>
      </c>
      <c r="F1626" s="18"/>
      <c r="G1626" s="18"/>
      <c r="H1626" s="17"/>
    </row>
    <row r="1627" spans="1:8" s="40" customFormat="1" ht="12">
      <c r="A1627" s="39">
        <f t="shared" si="25"/>
        <v>2</v>
      </c>
      <c r="B1627" s="39" t="s">
        <v>1385</v>
      </c>
      <c r="C1627" s="7" t="s">
        <v>1127</v>
      </c>
      <c r="D1627" s="8" t="s">
        <v>1504</v>
      </c>
      <c r="E1627" s="25" t="s">
        <v>1127</v>
      </c>
      <c r="F1627" s="18"/>
      <c r="G1627" s="18"/>
      <c r="H1627" s="17"/>
    </row>
    <row r="1628" spans="1:8" s="3" customFormat="1" ht="12">
      <c r="A1628" s="41">
        <f t="shared" si="25"/>
        <v>2</v>
      </c>
      <c r="B1628" s="41" t="s">
        <v>1386</v>
      </c>
      <c r="C1628" s="1" t="s">
        <v>1118</v>
      </c>
      <c r="D1628" s="2" t="s">
        <v>1505</v>
      </c>
      <c r="E1628" s="26" t="s">
        <v>1206</v>
      </c>
      <c r="F1628" s="19">
        <v>0</v>
      </c>
      <c r="G1628" s="19"/>
      <c r="H1628" s="17">
        <f>ROUND((P_2_213 Qté)*(P_2_213 PU),2)</f>
        <v>0</v>
      </c>
    </row>
    <row r="1629" spans="1:8" s="3" customFormat="1" ht="12">
      <c r="A1629" s="41">
        <f t="shared" si="25"/>
        <v>2</v>
      </c>
      <c r="B1629" s="41" t="s">
        <v>1386</v>
      </c>
      <c r="C1629" s="1" t="s">
        <v>1119</v>
      </c>
      <c r="D1629" s="2" t="s">
        <v>1506</v>
      </c>
      <c r="E1629" s="26" t="s">
        <v>1206</v>
      </c>
      <c r="F1629" s="19">
        <v>0</v>
      </c>
      <c r="G1629" s="19"/>
      <c r="H1629" s="17">
        <f>ROUND((P_2_214 Qté)*(P_2_214 PU),2)</f>
        <v>0</v>
      </c>
    </row>
    <row r="1630" spans="1:8" s="40" customFormat="1" ht="12">
      <c r="A1630" s="39">
        <f t="shared" si="25"/>
        <v>2</v>
      </c>
      <c r="B1630" s="39" t="s">
        <v>1385</v>
      </c>
      <c r="C1630" s="7" t="s">
        <v>1127</v>
      </c>
      <c r="D1630" s="8" t="s">
        <v>1507</v>
      </c>
      <c r="E1630" s="25" t="s">
        <v>1127</v>
      </c>
      <c r="F1630" s="18"/>
      <c r="G1630" s="18"/>
      <c r="H1630" s="17"/>
    </row>
    <row r="1631" spans="1:8" s="3" customFormat="1" ht="12">
      <c r="A1631" s="41">
        <f t="shared" si="25"/>
        <v>2</v>
      </c>
      <c r="B1631" s="41" t="s">
        <v>1386</v>
      </c>
      <c r="C1631" s="1" t="s">
        <v>1120</v>
      </c>
      <c r="D1631" s="2" t="s">
        <v>1508</v>
      </c>
      <c r="E1631" s="26" t="s">
        <v>1206</v>
      </c>
      <c r="F1631" s="19">
        <v>0</v>
      </c>
      <c r="G1631" s="19"/>
      <c r="H1631" s="17">
        <f>ROUND((P_2_215 Qté)*(P_2_215 PU),2)</f>
        <v>0</v>
      </c>
    </row>
    <row r="1632" spans="1:8" s="40" customFormat="1" ht="12">
      <c r="A1632" s="39">
        <f t="shared" si="25"/>
        <v>2</v>
      </c>
      <c r="B1632" s="39" t="s">
        <v>1385</v>
      </c>
      <c r="C1632" s="7" t="s">
        <v>1127</v>
      </c>
      <c r="D1632" s="8" t="s">
        <v>1337</v>
      </c>
      <c r="E1632" s="25" t="s">
        <v>1127</v>
      </c>
      <c r="F1632" s="18"/>
      <c r="G1632" s="18"/>
      <c r="H1632" s="17"/>
    </row>
    <row r="1633" spans="1:8" s="40" customFormat="1" ht="12">
      <c r="A1633" s="39">
        <f t="shared" si="25"/>
        <v>2</v>
      </c>
      <c r="B1633" s="39" t="s">
        <v>1385</v>
      </c>
      <c r="C1633" s="7" t="s">
        <v>1127</v>
      </c>
      <c r="D1633" s="8" t="s">
        <v>1504</v>
      </c>
      <c r="E1633" s="25" t="s">
        <v>1127</v>
      </c>
      <c r="F1633" s="18"/>
      <c r="G1633" s="18"/>
      <c r="H1633" s="17"/>
    </row>
    <row r="1634" spans="1:8" s="3" customFormat="1" ht="12">
      <c r="A1634" s="41">
        <f t="shared" si="25"/>
        <v>2</v>
      </c>
      <c r="B1634" s="41" t="s">
        <v>1386</v>
      </c>
      <c r="C1634" s="1" t="s">
        <v>1121</v>
      </c>
      <c r="D1634" s="2" t="s">
        <v>1505</v>
      </c>
      <c r="E1634" s="26" t="s">
        <v>1206</v>
      </c>
      <c r="F1634" s="19">
        <v>0</v>
      </c>
      <c r="G1634" s="19"/>
      <c r="H1634" s="17">
        <f>ROUND((P_2_216 Qté)*(P_2_216 PU),2)</f>
        <v>0</v>
      </c>
    </row>
    <row r="1635" spans="1:8" s="3" customFormat="1" ht="12">
      <c r="A1635" s="41">
        <f t="shared" si="25"/>
        <v>2</v>
      </c>
      <c r="B1635" s="41" t="s">
        <v>1386</v>
      </c>
      <c r="C1635" s="1" t="s">
        <v>1122</v>
      </c>
      <c r="D1635" s="2" t="s">
        <v>1338</v>
      </c>
      <c r="E1635" s="26" t="s">
        <v>1206</v>
      </c>
      <c r="F1635" s="19">
        <v>0</v>
      </c>
      <c r="G1635" s="19"/>
      <c r="H1635" s="17">
        <f>ROUND((P_2_217 Qté)*(P_2_217 PU),2)</f>
        <v>0</v>
      </c>
    </row>
    <row r="1636" spans="1:8" s="40" customFormat="1" ht="12">
      <c r="A1636" s="39">
        <f t="shared" si="25"/>
        <v>2</v>
      </c>
      <c r="B1636" s="39" t="s">
        <v>1385</v>
      </c>
      <c r="C1636" s="7" t="s">
        <v>1127</v>
      </c>
      <c r="D1636" s="8" t="s">
        <v>1507</v>
      </c>
      <c r="E1636" s="25" t="s">
        <v>1127</v>
      </c>
      <c r="F1636" s="18"/>
      <c r="G1636" s="18"/>
      <c r="H1636" s="17"/>
    </row>
    <row r="1637" spans="1:8" s="3" customFormat="1" ht="12">
      <c r="A1637" s="41">
        <f t="shared" si="25"/>
        <v>2</v>
      </c>
      <c r="B1637" s="41" t="s">
        <v>1386</v>
      </c>
      <c r="C1637" s="1" t="s">
        <v>1123</v>
      </c>
      <c r="D1637" s="2" t="s">
        <v>1508</v>
      </c>
      <c r="E1637" s="26" t="s">
        <v>1206</v>
      </c>
      <c r="F1637" s="19">
        <v>0</v>
      </c>
      <c r="G1637" s="19"/>
      <c r="H1637" s="17">
        <f>ROUND((P_2_218 Qté)*(P_2_218 PU),2)</f>
        <v>0</v>
      </c>
    </row>
    <row r="1638" spans="1:8" s="40" customFormat="1" ht="12">
      <c r="A1638" s="39">
        <f t="shared" si="25"/>
        <v>2</v>
      </c>
      <c r="B1638" s="39" t="s">
        <v>1385</v>
      </c>
      <c r="C1638" s="7" t="s">
        <v>1127</v>
      </c>
      <c r="D1638" s="8" t="s">
        <v>1339</v>
      </c>
      <c r="E1638" s="25" t="s">
        <v>1127</v>
      </c>
      <c r="F1638" s="18"/>
      <c r="G1638" s="18"/>
      <c r="H1638" s="17"/>
    </row>
    <row r="1639" spans="1:8" s="40" customFormat="1" ht="12">
      <c r="A1639" s="39">
        <f t="shared" si="25"/>
        <v>2</v>
      </c>
      <c r="B1639" s="39" t="s">
        <v>1385</v>
      </c>
      <c r="C1639" s="7" t="s">
        <v>1127</v>
      </c>
      <c r="D1639" s="8" t="s">
        <v>1504</v>
      </c>
      <c r="E1639" s="25" t="s">
        <v>1127</v>
      </c>
      <c r="F1639" s="18"/>
      <c r="G1639" s="18"/>
      <c r="H1639" s="17"/>
    </row>
    <row r="1640" spans="1:8" s="3" customFormat="1" ht="12">
      <c r="A1640" s="41">
        <f t="shared" si="25"/>
        <v>2</v>
      </c>
      <c r="B1640" s="41" t="s">
        <v>1386</v>
      </c>
      <c r="C1640" s="1" t="s">
        <v>1124</v>
      </c>
      <c r="D1640" s="2" t="s">
        <v>1505</v>
      </c>
      <c r="E1640" s="26" t="s">
        <v>1206</v>
      </c>
      <c r="F1640" s="19">
        <v>0</v>
      </c>
      <c r="G1640" s="19"/>
      <c r="H1640" s="17">
        <f>ROUND((P_2_219 Qté)*(P_2_219 PU),2)</f>
        <v>0</v>
      </c>
    </row>
    <row r="1641" spans="1:8" s="3" customFormat="1" ht="12">
      <c r="A1641" s="41">
        <f t="shared" si="25"/>
        <v>2</v>
      </c>
      <c r="B1641" s="41" t="s">
        <v>1386</v>
      </c>
      <c r="C1641" s="1" t="s">
        <v>1125</v>
      </c>
      <c r="D1641" s="2" t="s">
        <v>1338</v>
      </c>
      <c r="E1641" s="26" t="s">
        <v>1206</v>
      </c>
      <c r="F1641" s="19">
        <v>0</v>
      </c>
      <c r="G1641" s="19"/>
      <c r="H1641" s="17">
        <f>ROUND((P_2_220 Qté)*(P_2_220 PU),2)</f>
        <v>0</v>
      </c>
    </row>
    <row r="1642" spans="1:8" s="40" customFormat="1" ht="12">
      <c r="A1642" s="39">
        <f t="shared" si="25"/>
        <v>2</v>
      </c>
      <c r="B1642" s="39" t="s">
        <v>1385</v>
      </c>
      <c r="C1642" s="7" t="s">
        <v>1127</v>
      </c>
      <c r="D1642" s="8" t="s">
        <v>1507</v>
      </c>
      <c r="E1642" s="25" t="s">
        <v>1127</v>
      </c>
      <c r="F1642" s="18"/>
      <c r="G1642" s="18"/>
      <c r="H1642" s="17"/>
    </row>
    <row r="1643" spans="1:8" s="3" customFormat="1" ht="12">
      <c r="A1643" s="41">
        <f t="shared" si="25"/>
        <v>2</v>
      </c>
      <c r="B1643" s="41" t="s">
        <v>1386</v>
      </c>
      <c r="C1643" s="1" t="s">
        <v>1126</v>
      </c>
      <c r="D1643" s="2" t="s">
        <v>1508</v>
      </c>
      <c r="E1643" s="26" t="s">
        <v>1206</v>
      </c>
      <c r="F1643" s="19">
        <v>0</v>
      </c>
      <c r="G1643" s="19"/>
      <c r="H1643" s="17">
        <f>ROUND((P_2_221 Qté)*(P_2_221 PU),2)</f>
        <v>0</v>
      </c>
    </row>
    <row r="1644" spans="1:8" ht="12">
      <c r="A1644" s="33">
        <f>A1643-1</f>
        <v>1</v>
      </c>
      <c r="B1644" s="33" t="s">
        <v>1387</v>
      </c>
      <c r="D1644" s="45" t="s">
        <v>1392</v>
      </c>
      <c r="E1644" s="46"/>
      <c r="F1644" s="47"/>
      <c r="G1644" s="47"/>
      <c r="H1644" s="47">
        <f>SUM((P_2_1 MT):(P_2_221 MT))</f>
        <v>0</v>
      </c>
    </row>
    <row r="1645" spans="1:7" ht="12">
      <c r="A1645" s="33">
        <v>0</v>
      </c>
      <c r="B1645" s="33" t="s">
        <v>1391</v>
      </c>
      <c r="D1645" s="48"/>
      <c r="E1645" s="21"/>
      <c r="F1645" s="15"/>
      <c r="G1645" s="15"/>
    </row>
    <row r="1646" spans="1:8" ht="12" hidden="1">
      <c r="A1646" s="33">
        <f>A1644-1+0</f>
        <v>0</v>
      </c>
      <c r="B1646" s="33" t="s">
        <v>1387</v>
      </c>
      <c r="D1646" s="49" t="s">
        <v>1392</v>
      </c>
      <c r="E1646" s="46"/>
      <c r="F1646" s="47"/>
      <c r="G1646" s="47"/>
      <c r="H1646" s="47">
        <f>ROUND((HT_1_HT01 MT),2)</f>
        <v>0</v>
      </c>
    </row>
    <row r="1647" spans="1:7" ht="12" hidden="1">
      <c r="A1647" s="33">
        <v>0</v>
      </c>
      <c r="B1647" s="33" t="s">
        <v>1391</v>
      </c>
      <c r="D1647" s="48"/>
      <c r="E1647" s="21"/>
      <c r="F1647" s="15"/>
      <c r="G1647" s="15"/>
    </row>
    <row r="1648" spans="1:4" ht="12">
      <c r="A1648" s="33">
        <v>0</v>
      </c>
      <c r="B1648" s="33" t="s">
        <v>1385</v>
      </c>
      <c r="D1648" s="50" t="s">
        <v>735</v>
      </c>
    </row>
    <row r="1649" spans="1:3" ht="12">
      <c r="A1649" s="33">
        <v>0</v>
      </c>
      <c r="B1649" s="33" t="s">
        <v>1385</v>
      </c>
      <c r="C1649" s="11" t="s">
        <v>736</v>
      </c>
    </row>
    <row r="1650" spans="1:4" ht="12">
      <c r="A1650" s="33">
        <v>0</v>
      </c>
      <c r="B1650" s="33" t="s">
        <v>1385</v>
      </c>
      <c r="C1650" s="11" t="s">
        <v>737</v>
      </c>
      <c r="D1650" s="12"/>
    </row>
    <row r="1758" ht="12"/>
    <row r="1759" ht="12"/>
    <row r="1760" ht="12"/>
    <row r="1761" ht="12"/>
    <row r="1763" ht="12"/>
  </sheetData>
  <sheetProtection/>
  <mergeCells count="1">
    <mergeCell ref="E1:F1"/>
  </mergeCells>
  <printOptions horizontalCentered="1"/>
  <pageMargins left="0.787401575" right="0.787401575" top="0.984251969" bottom="0.984251969" header="0.4921259845" footer="0.4921259845"/>
  <pageSetup fitToHeight="1000" fitToWidth="1" horizontalDpi="600" verticalDpi="600" orientation="portrait" paperSize="9" scale="76" r:id="rId3"/>
  <legacyDrawing r:id="rId2"/>
</worksheet>
</file>

<file path=xl/worksheets/sheet2.xml><?xml version="1.0" encoding="utf-8"?>
<worksheet xmlns="http://schemas.openxmlformats.org/spreadsheetml/2006/main" xmlns:r="http://schemas.openxmlformats.org/officeDocument/2006/relationships">
  <dimension ref="A1:D584"/>
  <sheetViews>
    <sheetView zoomScalePageLayoutView="0" workbookViewId="0" topLeftCell="A1">
      <selection activeCell="A1" sqref="A1"/>
    </sheetView>
  </sheetViews>
  <sheetFormatPr defaultColWidth="11.421875" defaultRowHeight="15"/>
  <sheetData>
    <row r="1" spans="1:4" ht="15">
      <c r="A1" t="s">
        <v>1342</v>
      </c>
      <c r="B1" t="s">
        <v>1393</v>
      </c>
      <c r="C1" t="s">
        <v>1394</v>
      </c>
      <c r="D1" t="s">
        <v>1395</v>
      </c>
    </row>
    <row r="2" spans="1:4" ht="15">
      <c r="A2" s="30" t="s">
        <v>906</v>
      </c>
      <c r="B2" s="53">
        <f>IF(ISTEXT((CADOLIVE!P_2_1 CADOLIVE!Qté)),0,(CADOLIVE!P_2_1 CADOLIVE!Qté))</f>
        <v>0</v>
      </c>
      <c r="C2" s="31">
        <f>(CADOLIVE!P_2_1 CADOLIVE!PU)</f>
        <v>0</v>
      </c>
      <c r="D2" s="31">
        <f>IF(ISTEXT((CADOLIVE!P_2_1 CADOLIVE!MT)),0,(CADOLIVE!P_2_1 CADOLIVE!MT))</f>
        <v>0</v>
      </c>
    </row>
    <row r="3" spans="1:4" ht="15">
      <c r="A3" s="30" t="s">
        <v>907</v>
      </c>
      <c r="B3" s="53">
        <f>IF(ISTEXT((CADOLIVE!P_2_2 CADOLIVE!Qté)),0,(CADOLIVE!P_2_2 CADOLIVE!Qté))</f>
        <v>0</v>
      </c>
      <c r="C3" s="31">
        <f>(CADOLIVE!P_2_2 CADOLIVE!PU)</f>
        <v>0</v>
      </c>
      <c r="D3" s="31">
        <f>IF(ISTEXT((CADOLIVE!P_2_2 CADOLIVE!MT)),0,(CADOLIVE!P_2_2 CADOLIVE!MT))</f>
        <v>0</v>
      </c>
    </row>
    <row r="4" spans="1:4" ht="15">
      <c r="A4" s="30" t="s">
        <v>908</v>
      </c>
      <c r="B4" s="53">
        <f>IF(ISTEXT((CADOLIVE!P_2_3 CADOLIVE!Qté)),0,(CADOLIVE!P_2_3 CADOLIVE!Qté))</f>
        <v>0</v>
      </c>
      <c r="C4" s="31">
        <f>(CADOLIVE!P_2_3 CADOLIVE!PU)</f>
        <v>0</v>
      </c>
      <c r="D4" s="31">
        <f>IF(ISTEXT((CADOLIVE!P_2_3 CADOLIVE!MT)),0,(CADOLIVE!P_2_3 CADOLIVE!MT))</f>
        <v>0</v>
      </c>
    </row>
    <row r="5" spans="1:4" ht="15">
      <c r="A5" s="30" t="s">
        <v>909</v>
      </c>
      <c r="B5" s="53">
        <f>IF(ISTEXT((CADOLIVE!P_2_4 CADOLIVE!Qté)),0,(CADOLIVE!P_2_4 CADOLIVE!Qté))</f>
        <v>0</v>
      </c>
      <c r="C5" s="31">
        <f>(CADOLIVE!P_2_4 CADOLIVE!PU)</f>
        <v>0</v>
      </c>
      <c r="D5" s="31">
        <f>IF(ISTEXT((CADOLIVE!P_2_4 CADOLIVE!MT)),0,(CADOLIVE!P_2_4 CADOLIVE!MT))</f>
        <v>0</v>
      </c>
    </row>
    <row r="6" spans="1:4" ht="15">
      <c r="A6" s="30" t="s">
        <v>910</v>
      </c>
      <c r="B6" s="53">
        <f>IF(ISTEXT((CADOLIVE!P_2_5 CADOLIVE!Qté)),0,(CADOLIVE!P_2_5 CADOLIVE!Qté))</f>
        <v>0</v>
      </c>
      <c r="C6" s="31">
        <f>(CADOLIVE!P_2_5 CADOLIVE!PU)</f>
        <v>0</v>
      </c>
      <c r="D6" s="31">
        <f>IF(ISTEXT((CADOLIVE!P_2_5 CADOLIVE!MT)),0,(CADOLIVE!P_2_5 CADOLIVE!MT))</f>
        <v>0</v>
      </c>
    </row>
    <row r="7" spans="1:4" ht="15">
      <c r="A7" s="30" t="s">
        <v>911</v>
      </c>
      <c r="B7" s="53">
        <f>IF(ISTEXT((CADOLIVE!P_2_6 CADOLIVE!Qté)),0,(CADOLIVE!P_2_6 CADOLIVE!Qté))</f>
        <v>0</v>
      </c>
      <c r="C7" s="31">
        <f>(CADOLIVE!P_2_6 CADOLIVE!PU)</f>
        <v>0</v>
      </c>
      <c r="D7" s="31">
        <f>IF(ISTEXT((CADOLIVE!P_2_6 CADOLIVE!MT)),0,(CADOLIVE!P_2_6 CADOLIVE!MT))</f>
        <v>0</v>
      </c>
    </row>
    <row r="8" spans="1:4" ht="15">
      <c r="A8" s="30" t="s">
        <v>1129</v>
      </c>
      <c r="B8" s="53">
        <f>IF(ISTEXT((CADOLIVE!P_2_7.a CADOLIVE!Qté)),0,(CADOLIVE!P_2_7.a CADOLIVE!Qté))</f>
        <v>0</v>
      </c>
      <c r="C8" s="31">
        <f>(CADOLIVE!P_2_7.a CADOLIVE!PU)</f>
        <v>0</v>
      </c>
      <c r="D8" s="31">
        <f>IF(ISTEXT((CADOLIVE!P_2_7.a CADOLIVE!MT)),0,(CADOLIVE!P_2_7.a CADOLIVE!MT))</f>
        <v>0</v>
      </c>
    </row>
    <row r="9" spans="1:4" ht="15">
      <c r="A9" s="30" t="s">
        <v>1130</v>
      </c>
      <c r="B9" s="53">
        <f>IF(ISTEXT((CADOLIVE!P_2_7.b CADOLIVE!Qté)),0,(CADOLIVE!P_2_7.b CADOLIVE!Qté))</f>
        <v>0</v>
      </c>
      <c r="C9" s="31">
        <f>(CADOLIVE!P_2_7.b CADOLIVE!PU)</f>
        <v>0</v>
      </c>
      <c r="D9" s="31">
        <f>IF(ISTEXT((CADOLIVE!P_2_7.b CADOLIVE!MT)),0,(CADOLIVE!P_2_7.b CADOLIVE!MT))</f>
        <v>0</v>
      </c>
    </row>
    <row r="10" spans="1:4" ht="15">
      <c r="A10" s="30" t="s">
        <v>1131</v>
      </c>
      <c r="B10" s="53">
        <f>IF(ISTEXT((CADOLIVE!P_2_7.c CADOLIVE!Qté)),0,(CADOLIVE!P_2_7.c CADOLIVE!Qté))</f>
        <v>0</v>
      </c>
      <c r="C10" s="31">
        <f>(CADOLIVE!P_2_7.c CADOLIVE!PU)</f>
        <v>0</v>
      </c>
      <c r="D10" s="31">
        <f>IF(ISTEXT((CADOLIVE!P_2_7.c CADOLIVE!MT)),0,(CADOLIVE!P_2_7.c CADOLIVE!MT))</f>
        <v>0</v>
      </c>
    </row>
    <row r="11" spans="1:4" ht="15">
      <c r="A11" s="30" t="s">
        <v>1132</v>
      </c>
      <c r="B11" s="53">
        <f>IF(ISTEXT((CADOLIVE!P_2_7.d CADOLIVE!Qté)),0,(CADOLIVE!P_2_7.d CADOLIVE!Qté))</f>
        <v>0</v>
      </c>
      <c r="C11" s="31">
        <f>(CADOLIVE!P_2_7.d CADOLIVE!PU)</f>
        <v>0</v>
      </c>
      <c r="D11" s="31">
        <f>IF(ISTEXT((CADOLIVE!P_2_7.d CADOLIVE!MT)),0,(CADOLIVE!P_2_7.d CADOLIVE!MT))</f>
        <v>0</v>
      </c>
    </row>
    <row r="12" spans="1:4" ht="15">
      <c r="A12" s="30" t="s">
        <v>1133</v>
      </c>
      <c r="B12" s="53">
        <f>IF(ISTEXT((CADOLIVE!P_2_7.e CADOLIVE!Qté)),0,(CADOLIVE!P_2_7.e CADOLIVE!Qté))</f>
        <v>0</v>
      </c>
      <c r="C12" s="31">
        <f>(CADOLIVE!P_2_7.e CADOLIVE!PU)</f>
        <v>0</v>
      </c>
      <c r="D12" s="31">
        <f>IF(ISTEXT((CADOLIVE!P_2_7.e CADOLIVE!MT)),0,(CADOLIVE!P_2_7.e CADOLIVE!MT))</f>
        <v>0</v>
      </c>
    </row>
    <row r="13" spans="1:4" ht="15">
      <c r="A13" s="30" t="s">
        <v>1134</v>
      </c>
      <c r="B13" s="53">
        <f>IF(ISTEXT((CADOLIVE!P_2_7.f CADOLIVE!Qté)),0,(CADOLIVE!P_2_7.f CADOLIVE!Qté))</f>
        <v>0</v>
      </c>
      <c r="C13" s="31">
        <f>(CADOLIVE!P_2_7.f CADOLIVE!PU)</f>
        <v>0</v>
      </c>
      <c r="D13" s="31">
        <f>IF(ISTEXT((CADOLIVE!P_2_7.f CADOLIVE!MT)),0,(CADOLIVE!P_2_7.f CADOLIVE!MT))</f>
        <v>0</v>
      </c>
    </row>
    <row r="14" spans="1:4" ht="15">
      <c r="A14" s="30" t="s">
        <v>1135</v>
      </c>
      <c r="B14" s="53">
        <f>IF(ISTEXT((CADOLIVE!P_2_7.g CADOLIVE!Qté)),0,(CADOLIVE!P_2_7.g CADOLIVE!Qté))</f>
        <v>0</v>
      </c>
      <c r="C14" s="31">
        <f>(CADOLIVE!P_2_7.g CADOLIVE!PU)</f>
        <v>0</v>
      </c>
      <c r="D14" s="31">
        <f>IF(ISTEXT((CADOLIVE!P_2_7.g CADOLIVE!MT)),0,(CADOLIVE!P_2_7.g CADOLIVE!MT))</f>
        <v>0</v>
      </c>
    </row>
    <row r="15" spans="1:4" ht="15">
      <c r="A15" s="30" t="s">
        <v>1136</v>
      </c>
      <c r="B15" s="53">
        <f>IF(ISTEXT((CADOLIVE!P_2_7.h CADOLIVE!Qté)),0,(CADOLIVE!P_2_7.h CADOLIVE!Qté))</f>
        <v>0</v>
      </c>
      <c r="C15" s="31">
        <f>(CADOLIVE!P_2_7.h CADOLIVE!PU)</f>
        <v>0</v>
      </c>
      <c r="D15" s="31">
        <f>IF(ISTEXT((CADOLIVE!P_2_7.h CADOLIVE!MT)),0,(CADOLIVE!P_2_7.h CADOLIVE!MT))</f>
        <v>0</v>
      </c>
    </row>
    <row r="16" spans="1:4" ht="15">
      <c r="A16" s="30" t="s">
        <v>1137</v>
      </c>
      <c r="B16" s="53">
        <f>IF(ISTEXT((CADOLIVE!P_2_7.i CADOLIVE!Qté)),0,(CADOLIVE!P_2_7.i CADOLIVE!Qté))</f>
        <v>0</v>
      </c>
      <c r="C16" s="31">
        <f>(CADOLIVE!P_2_7.i CADOLIVE!PU)</f>
        <v>0</v>
      </c>
      <c r="D16" s="31">
        <f>IF(ISTEXT((CADOLIVE!P_2_7.i CADOLIVE!MT)),0,(CADOLIVE!P_2_7.i CADOLIVE!MT))</f>
        <v>0</v>
      </c>
    </row>
    <row r="17" spans="1:4" ht="15">
      <c r="A17" s="30" t="s">
        <v>1138</v>
      </c>
      <c r="B17" s="53">
        <f>IF(ISTEXT((CADOLIVE!P_2_7.j CADOLIVE!Qté)),0,(CADOLIVE!P_2_7.j CADOLIVE!Qté))</f>
        <v>0</v>
      </c>
      <c r="C17" s="31">
        <f>(CADOLIVE!P_2_7.j CADOLIVE!PU)</f>
        <v>0</v>
      </c>
      <c r="D17" s="31">
        <f>IF(ISTEXT((CADOLIVE!P_2_7.j CADOLIVE!MT)),0,(CADOLIVE!P_2_7.j CADOLIVE!MT))</f>
        <v>0</v>
      </c>
    </row>
    <row r="18" spans="1:4" ht="15">
      <c r="A18" s="30" t="s">
        <v>1139</v>
      </c>
      <c r="B18" s="53">
        <f>IF(ISTEXT((CADOLIVE!P_2_7.k CADOLIVE!Qté)),0,(CADOLIVE!P_2_7.k CADOLIVE!Qté))</f>
        <v>0</v>
      </c>
      <c r="C18" s="31">
        <f>(CADOLIVE!P_2_7.k CADOLIVE!PU)</f>
        <v>0</v>
      </c>
      <c r="D18" s="31">
        <f>IF(ISTEXT((CADOLIVE!P_2_7.k CADOLIVE!MT)),0,(CADOLIVE!P_2_7.k CADOLIVE!MT))</f>
        <v>0</v>
      </c>
    </row>
    <row r="19" spans="1:4" ht="15">
      <c r="A19" s="30" t="s">
        <v>1140</v>
      </c>
      <c r="B19" s="53">
        <f>IF(ISTEXT((CADOLIVE!P_2_7.l CADOLIVE!Qté)),0,(CADOLIVE!P_2_7.l CADOLIVE!Qté))</f>
        <v>0</v>
      </c>
      <c r="C19" s="31">
        <f>(CADOLIVE!P_2_7.l CADOLIVE!PU)</f>
        <v>0</v>
      </c>
      <c r="D19" s="31">
        <f>IF(ISTEXT((CADOLIVE!P_2_7.l CADOLIVE!MT)),0,(CADOLIVE!P_2_7.l CADOLIVE!MT))</f>
        <v>0</v>
      </c>
    </row>
    <row r="20" spans="1:4" ht="15">
      <c r="A20" s="30" t="s">
        <v>1141</v>
      </c>
      <c r="B20" s="53">
        <f>IF(ISTEXT((CADOLIVE!P_2_7.m CADOLIVE!Qté)),0,(CADOLIVE!P_2_7.m CADOLIVE!Qté))</f>
        <v>0</v>
      </c>
      <c r="C20" s="31">
        <f>(CADOLIVE!P_2_7.m CADOLIVE!PU)</f>
        <v>0</v>
      </c>
      <c r="D20" s="31">
        <f>IF(ISTEXT((CADOLIVE!P_2_7.m CADOLIVE!MT)),0,(CADOLIVE!P_2_7.m CADOLIVE!MT))</f>
        <v>0</v>
      </c>
    </row>
    <row r="21" spans="1:4" ht="15">
      <c r="A21" s="30" t="s">
        <v>1142</v>
      </c>
      <c r="B21" s="53">
        <f>IF(ISTEXT((CADOLIVE!P_2_7.n CADOLIVE!Qté)),0,(CADOLIVE!P_2_7.n CADOLIVE!Qté))</f>
        <v>0</v>
      </c>
      <c r="C21" s="31">
        <f>(CADOLIVE!P_2_7.n CADOLIVE!PU)</f>
        <v>0</v>
      </c>
      <c r="D21" s="31">
        <f>IF(ISTEXT((CADOLIVE!P_2_7.n CADOLIVE!MT)),0,(CADOLIVE!P_2_7.n CADOLIVE!MT))</f>
        <v>0</v>
      </c>
    </row>
    <row r="22" spans="1:4" ht="15">
      <c r="A22" s="30" t="s">
        <v>1143</v>
      </c>
      <c r="B22" s="53">
        <f>IF(ISTEXT((CADOLIVE!P_2_7.o CADOLIVE!Qté)),0,(CADOLIVE!P_2_7.o CADOLIVE!Qté))</f>
        <v>0</v>
      </c>
      <c r="C22" s="31">
        <f>(CADOLIVE!P_2_7.o CADOLIVE!PU)</f>
        <v>0</v>
      </c>
      <c r="D22" s="31">
        <f>IF(ISTEXT((CADOLIVE!P_2_7.o CADOLIVE!MT)),0,(CADOLIVE!P_2_7.o CADOLIVE!MT))</f>
        <v>0</v>
      </c>
    </row>
    <row r="23" spans="1:4" ht="15">
      <c r="A23" s="30" t="s">
        <v>1144</v>
      </c>
      <c r="B23" s="53">
        <f>IF(ISTEXT((CADOLIVE!P_2_7.p CADOLIVE!Qté)),0,(CADOLIVE!P_2_7.p CADOLIVE!Qté))</f>
        <v>0</v>
      </c>
      <c r="C23" s="31">
        <f>(CADOLIVE!P_2_7.p CADOLIVE!PU)</f>
        <v>0</v>
      </c>
      <c r="D23" s="31">
        <f>IF(ISTEXT((CADOLIVE!P_2_7.p CADOLIVE!MT)),0,(CADOLIVE!P_2_7.p CADOLIVE!MT))</f>
        <v>0</v>
      </c>
    </row>
    <row r="24" spans="1:4" ht="15">
      <c r="A24" s="30" t="s">
        <v>788</v>
      </c>
      <c r="B24" s="53">
        <f>IF(ISTEXT((CADOLIVE!P_2_7.q CADOLIVE!Qté)),0,(CADOLIVE!P_2_7.q CADOLIVE!Qté))</f>
        <v>0</v>
      </c>
      <c r="C24" s="31">
        <f>(CADOLIVE!P_2_7.q CADOLIVE!PU)</f>
        <v>0</v>
      </c>
      <c r="D24" s="31">
        <f>IF(ISTEXT((CADOLIVE!P_2_7.q CADOLIVE!MT)),0,(CADOLIVE!P_2_7.q CADOLIVE!MT))</f>
        <v>0</v>
      </c>
    </row>
    <row r="25" spans="1:4" ht="15">
      <c r="A25" s="30" t="s">
        <v>787</v>
      </c>
      <c r="B25" s="53">
        <f>IF(ISTEXT((CADOLIVE!P_2_7.r CADOLIVE!Qté)),0,(CADOLIVE!P_2_7.r CADOLIVE!Qté))</f>
        <v>0</v>
      </c>
      <c r="C25" s="31">
        <f>(CADOLIVE!P_2_7.r CADOLIVE!PU)</f>
        <v>0</v>
      </c>
      <c r="D25" s="31">
        <f>IF(ISTEXT((CADOLIVE!P_2_7.r CADOLIVE!MT)),0,(CADOLIVE!P_2_7.r CADOLIVE!MT))</f>
        <v>0</v>
      </c>
    </row>
    <row r="26" spans="1:4" ht="15">
      <c r="A26" s="30" t="s">
        <v>1156</v>
      </c>
      <c r="B26" s="53">
        <f>IF(ISTEXT((CADOLIVE!P_2_7.s CADOLIVE!Qté)),0,(CADOLIVE!P_2_7.s CADOLIVE!Qté))</f>
        <v>0</v>
      </c>
      <c r="C26" s="31">
        <f>(CADOLIVE!P_2_7.s CADOLIVE!PU)</f>
        <v>0</v>
      </c>
      <c r="D26" s="31">
        <f>IF(ISTEXT((CADOLIVE!P_2_7.s CADOLIVE!MT)),0,(CADOLIVE!P_2_7.s CADOLIVE!MT))</f>
        <v>0</v>
      </c>
    </row>
    <row r="27" spans="1:4" ht="15">
      <c r="A27" s="30" t="s">
        <v>1155</v>
      </c>
      <c r="B27" s="53">
        <f>IF(ISTEXT((CADOLIVE!P_2_7.t CADOLIVE!Qté)),0,(CADOLIVE!P_2_7.t CADOLIVE!Qté))</f>
        <v>0</v>
      </c>
      <c r="C27" s="31">
        <f>(CADOLIVE!P_2_7.t CADOLIVE!PU)</f>
        <v>0</v>
      </c>
      <c r="D27" s="31">
        <f>IF(ISTEXT((CADOLIVE!P_2_7.t CADOLIVE!MT)),0,(CADOLIVE!P_2_7.t CADOLIVE!MT))</f>
        <v>0</v>
      </c>
    </row>
    <row r="28" spans="1:4" ht="15">
      <c r="A28" s="30" t="s">
        <v>1154</v>
      </c>
      <c r="B28" s="53">
        <f>IF(ISTEXT((CADOLIVE!P_2_7.u CADOLIVE!Qté)),0,(CADOLIVE!P_2_7.u CADOLIVE!Qté))</f>
        <v>0</v>
      </c>
      <c r="C28" s="31">
        <f>(CADOLIVE!P_2_7.u CADOLIVE!PU)</f>
        <v>0</v>
      </c>
      <c r="D28" s="31">
        <f>IF(ISTEXT((CADOLIVE!P_2_7.u CADOLIVE!MT)),0,(CADOLIVE!P_2_7.u CADOLIVE!MT))</f>
        <v>0</v>
      </c>
    </row>
    <row r="29" spans="1:4" ht="15">
      <c r="A29" s="30" t="s">
        <v>1153</v>
      </c>
      <c r="B29" s="53">
        <f>IF(ISTEXT((CADOLIVE!P_2_7.v CADOLIVE!Qté)),0,(CADOLIVE!P_2_7.v CADOLIVE!Qté))</f>
        <v>0</v>
      </c>
      <c r="C29" s="31">
        <f>(CADOLIVE!P_2_7.v CADOLIVE!PU)</f>
        <v>0</v>
      </c>
      <c r="D29" s="31">
        <f>IF(ISTEXT((CADOLIVE!P_2_7.v CADOLIVE!MT)),0,(CADOLIVE!P_2_7.v CADOLIVE!MT))</f>
        <v>0</v>
      </c>
    </row>
    <row r="30" spans="1:4" ht="15">
      <c r="A30" s="30" t="s">
        <v>1152</v>
      </c>
      <c r="B30" s="53">
        <f>IF(ISTEXT((CADOLIVE!P_2_7.v.1 CADOLIVE!Qté)),0,(CADOLIVE!P_2_7.v.1 CADOLIVE!Qté))</f>
        <v>0</v>
      </c>
      <c r="C30" s="31">
        <f>(CADOLIVE!P_2_7.v.1 CADOLIVE!PU)</f>
        <v>0</v>
      </c>
      <c r="D30" s="31">
        <f>IF(ISTEXT((CADOLIVE!P_2_7.v.1 CADOLIVE!MT)),0,(CADOLIVE!P_2_7.v.1 CADOLIVE!MT))</f>
        <v>0</v>
      </c>
    </row>
    <row r="31" spans="1:4" ht="15">
      <c r="A31" s="30" t="s">
        <v>1151</v>
      </c>
      <c r="B31" s="53">
        <f>IF(ISTEXT((CADOLIVE!P_2_8.a CADOLIVE!Qté)),0,(CADOLIVE!P_2_8.a CADOLIVE!Qté))</f>
        <v>0</v>
      </c>
      <c r="C31" s="31">
        <f>(CADOLIVE!P_2_8.a CADOLIVE!PU)</f>
        <v>0</v>
      </c>
      <c r="D31" s="31">
        <f>IF(ISTEXT((CADOLIVE!P_2_8.a CADOLIVE!MT)),0,(CADOLIVE!P_2_8.a CADOLIVE!MT))</f>
        <v>0</v>
      </c>
    </row>
    <row r="32" spans="1:4" ht="15">
      <c r="A32" s="30" t="s">
        <v>1150</v>
      </c>
      <c r="B32" s="53">
        <f>IF(ISTEXT((CADOLIVE!P_2_8.b CADOLIVE!Qté)),0,(CADOLIVE!P_2_8.b CADOLIVE!Qté))</f>
        <v>0</v>
      </c>
      <c r="C32" s="31">
        <f>(CADOLIVE!P_2_8.b CADOLIVE!PU)</f>
        <v>0</v>
      </c>
      <c r="D32" s="31">
        <f>IF(ISTEXT((CADOLIVE!P_2_8.b CADOLIVE!MT)),0,(CADOLIVE!P_2_8.b CADOLIVE!MT))</f>
        <v>0</v>
      </c>
    </row>
    <row r="33" spans="1:4" ht="15">
      <c r="A33" s="30" t="s">
        <v>1149</v>
      </c>
      <c r="B33" s="53">
        <f>IF(ISTEXT((CADOLIVE!P_2_8.c CADOLIVE!Qté)),0,(CADOLIVE!P_2_8.c CADOLIVE!Qté))</f>
        <v>0</v>
      </c>
      <c r="C33" s="31">
        <f>(CADOLIVE!P_2_8.c CADOLIVE!PU)</f>
        <v>0</v>
      </c>
      <c r="D33" s="31">
        <f>IF(ISTEXT((CADOLIVE!P_2_8.c CADOLIVE!MT)),0,(CADOLIVE!P_2_8.c CADOLIVE!MT))</f>
        <v>0</v>
      </c>
    </row>
    <row r="34" spans="1:4" ht="15">
      <c r="A34" s="30" t="s">
        <v>1148</v>
      </c>
      <c r="B34" s="53">
        <f>IF(ISTEXT((CADOLIVE!P_2_8.d CADOLIVE!Qté)),0,(CADOLIVE!P_2_8.d CADOLIVE!Qté))</f>
        <v>0</v>
      </c>
      <c r="C34" s="31">
        <f>(CADOLIVE!P_2_8.d CADOLIVE!PU)</f>
        <v>0</v>
      </c>
      <c r="D34" s="31">
        <f>IF(ISTEXT((CADOLIVE!P_2_8.d CADOLIVE!MT)),0,(CADOLIVE!P_2_8.d CADOLIVE!MT))</f>
        <v>0</v>
      </c>
    </row>
    <row r="35" spans="1:4" ht="15">
      <c r="A35" s="30" t="s">
        <v>1146</v>
      </c>
      <c r="B35" s="53">
        <f>IF(ISTEXT((CADOLIVE!P_2_8.d.1 CADOLIVE!Qté)),0,(CADOLIVE!P_2_8.d.1 CADOLIVE!Qté))</f>
        <v>0</v>
      </c>
      <c r="C35" s="31">
        <f>(CADOLIVE!P_2_8.d.1 CADOLIVE!PU)</f>
        <v>0</v>
      </c>
      <c r="D35" s="31">
        <f>IF(ISTEXT((CADOLIVE!P_2_8.d.1 CADOLIVE!MT)),0,(CADOLIVE!P_2_8.d.1 CADOLIVE!MT))</f>
        <v>0</v>
      </c>
    </row>
    <row r="36" spans="1:4" ht="15">
      <c r="A36" s="30" t="s">
        <v>1517</v>
      </c>
      <c r="B36" s="53">
        <f>IF(ISTEXT((CADOLIVE!P_2_9.a CADOLIVE!Qté)),0,(CADOLIVE!P_2_9.a CADOLIVE!Qté))</f>
        <v>0</v>
      </c>
      <c r="C36" s="31">
        <f>(CADOLIVE!P_2_9.a CADOLIVE!PU)</f>
        <v>0</v>
      </c>
      <c r="D36" s="31">
        <f>IF(ISTEXT((CADOLIVE!P_2_9.a CADOLIVE!MT)),0,(CADOLIVE!P_2_9.a CADOLIVE!MT))</f>
        <v>0</v>
      </c>
    </row>
    <row r="37" spans="1:4" ht="15">
      <c r="A37" s="30" t="s">
        <v>1518</v>
      </c>
      <c r="B37" s="53">
        <f>IF(ISTEXT((CADOLIVE!P_2_9.b CADOLIVE!Qté)),0,(CADOLIVE!P_2_9.b CADOLIVE!Qté))</f>
        <v>0</v>
      </c>
      <c r="C37" s="31">
        <f>(CADOLIVE!P_2_9.b CADOLIVE!PU)</f>
        <v>0</v>
      </c>
      <c r="D37" s="31">
        <f>IF(ISTEXT((CADOLIVE!P_2_9.b CADOLIVE!MT)),0,(CADOLIVE!P_2_9.b CADOLIVE!MT))</f>
        <v>0</v>
      </c>
    </row>
    <row r="38" spans="1:4" ht="15">
      <c r="A38" s="30" t="s">
        <v>1519</v>
      </c>
      <c r="B38" s="53">
        <f>IF(ISTEXT((CADOLIVE!P_2_9.c CADOLIVE!Qté)),0,(CADOLIVE!P_2_9.c CADOLIVE!Qté))</f>
        <v>0</v>
      </c>
      <c r="C38" s="31">
        <f>(CADOLIVE!P_2_9.c CADOLIVE!PU)</f>
        <v>0</v>
      </c>
      <c r="D38" s="31">
        <f>IF(ISTEXT((CADOLIVE!P_2_9.c CADOLIVE!MT)),0,(CADOLIVE!P_2_9.c CADOLIVE!MT))</f>
        <v>0</v>
      </c>
    </row>
    <row r="39" spans="1:4" ht="15">
      <c r="A39" s="30" t="s">
        <v>1520</v>
      </c>
      <c r="B39" s="53">
        <f>IF(ISTEXT((CADOLIVE!P_2_9.d CADOLIVE!Qté)),0,(CADOLIVE!P_2_9.d CADOLIVE!Qté))</f>
        <v>0</v>
      </c>
      <c r="C39" s="31">
        <f>(CADOLIVE!P_2_9.d CADOLIVE!PU)</f>
        <v>0</v>
      </c>
      <c r="D39" s="31">
        <f>IF(ISTEXT((CADOLIVE!P_2_9.d CADOLIVE!MT)),0,(CADOLIVE!P_2_9.d CADOLIVE!MT))</f>
        <v>0</v>
      </c>
    </row>
    <row r="40" spans="1:4" ht="15">
      <c r="A40" s="30" t="s">
        <v>1521</v>
      </c>
      <c r="B40" s="53">
        <f>IF(ISTEXT((CADOLIVE!P_2_9.e CADOLIVE!Qté)),0,(CADOLIVE!P_2_9.e CADOLIVE!Qté))</f>
        <v>0</v>
      </c>
      <c r="C40" s="31">
        <f>(CADOLIVE!P_2_9.e CADOLIVE!PU)</f>
        <v>0</v>
      </c>
      <c r="D40" s="31">
        <f>IF(ISTEXT((CADOLIVE!P_2_9.e CADOLIVE!MT)),0,(CADOLIVE!P_2_9.e CADOLIVE!MT))</f>
        <v>0</v>
      </c>
    </row>
    <row r="41" spans="1:4" ht="15">
      <c r="A41" s="30" t="s">
        <v>1522</v>
      </c>
      <c r="B41" s="53">
        <f>IF(ISTEXT((CADOLIVE!P_2_9.f CADOLIVE!Qté)),0,(CADOLIVE!P_2_9.f CADOLIVE!Qté))</f>
        <v>0</v>
      </c>
      <c r="C41" s="31">
        <f>(CADOLIVE!P_2_9.f CADOLIVE!PU)</f>
        <v>0</v>
      </c>
      <c r="D41" s="31">
        <f>IF(ISTEXT((CADOLIVE!P_2_9.f CADOLIVE!MT)),0,(CADOLIVE!P_2_9.f CADOLIVE!MT))</f>
        <v>0</v>
      </c>
    </row>
    <row r="42" spans="1:4" ht="15">
      <c r="A42" s="30" t="s">
        <v>1523</v>
      </c>
      <c r="B42" s="53">
        <f>IF(ISTEXT((CADOLIVE!P_2_9.g CADOLIVE!Qté)),0,(CADOLIVE!P_2_9.g CADOLIVE!Qté))</f>
        <v>0</v>
      </c>
      <c r="C42" s="31">
        <f>(CADOLIVE!P_2_9.g CADOLIVE!PU)</f>
        <v>0</v>
      </c>
      <c r="D42" s="31">
        <f>IF(ISTEXT((CADOLIVE!P_2_9.g CADOLIVE!MT)),0,(CADOLIVE!P_2_9.g CADOLIVE!MT))</f>
        <v>0</v>
      </c>
    </row>
    <row r="43" spans="1:4" ht="15">
      <c r="A43" s="30" t="s">
        <v>1524</v>
      </c>
      <c r="B43" s="53">
        <f>IF(ISTEXT((CADOLIVE!P_2_9.h CADOLIVE!Qté)),0,(CADOLIVE!P_2_9.h CADOLIVE!Qté))</f>
        <v>0</v>
      </c>
      <c r="C43" s="31">
        <f>(CADOLIVE!P_2_9.h CADOLIVE!PU)</f>
        <v>0</v>
      </c>
      <c r="D43" s="31">
        <f>IF(ISTEXT((CADOLIVE!P_2_9.h CADOLIVE!MT)),0,(CADOLIVE!P_2_9.h CADOLIVE!MT))</f>
        <v>0</v>
      </c>
    </row>
    <row r="44" spans="1:4" ht="15">
      <c r="A44" s="30" t="s">
        <v>1525</v>
      </c>
      <c r="B44" s="53">
        <f>IF(ISTEXT((CADOLIVE!P_2_9.i CADOLIVE!Qté)),0,(CADOLIVE!P_2_9.i CADOLIVE!Qté))</f>
        <v>0</v>
      </c>
      <c r="C44" s="31">
        <f>(CADOLIVE!P_2_9.i CADOLIVE!PU)</f>
        <v>0</v>
      </c>
      <c r="D44" s="31">
        <f>IF(ISTEXT((CADOLIVE!P_2_9.i CADOLIVE!MT)),0,(CADOLIVE!P_2_9.i CADOLIVE!MT))</f>
        <v>0</v>
      </c>
    </row>
    <row r="45" spans="1:4" ht="15">
      <c r="A45" s="30" t="s">
        <v>1526</v>
      </c>
      <c r="B45" s="53">
        <f>IF(ISTEXT((CADOLIVE!P_2_9.j CADOLIVE!Qté)),0,(CADOLIVE!P_2_9.j CADOLIVE!Qté))</f>
        <v>0</v>
      </c>
      <c r="C45" s="31">
        <f>(CADOLIVE!P_2_9.j CADOLIVE!PU)</f>
        <v>0</v>
      </c>
      <c r="D45" s="31">
        <f>IF(ISTEXT((CADOLIVE!P_2_9.j CADOLIVE!MT)),0,(CADOLIVE!P_2_9.j CADOLIVE!MT))</f>
        <v>0</v>
      </c>
    </row>
    <row r="46" spans="1:4" ht="15">
      <c r="A46" s="30" t="s">
        <v>1527</v>
      </c>
      <c r="B46" s="53">
        <f>IF(ISTEXT((CADOLIVE!P_2_9.k CADOLIVE!Qté)),0,(CADOLIVE!P_2_9.k CADOLIVE!Qté))</f>
        <v>0</v>
      </c>
      <c r="C46" s="31">
        <f>(CADOLIVE!P_2_9.k CADOLIVE!PU)</f>
        <v>0</v>
      </c>
      <c r="D46" s="31">
        <f>IF(ISTEXT((CADOLIVE!P_2_9.k CADOLIVE!MT)),0,(CADOLIVE!P_2_9.k CADOLIVE!MT))</f>
        <v>0</v>
      </c>
    </row>
    <row r="47" spans="1:4" ht="15">
      <c r="A47" s="30" t="s">
        <v>1528</v>
      </c>
      <c r="B47" s="53">
        <f>IF(ISTEXT((CADOLIVE!P_2_9.l CADOLIVE!Qté)),0,(CADOLIVE!P_2_9.l CADOLIVE!Qté))</f>
        <v>0</v>
      </c>
      <c r="C47" s="31">
        <f>(CADOLIVE!P_2_9.l CADOLIVE!PU)</f>
        <v>0</v>
      </c>
      <c r="D47" s="31">
        <f>IF(ISTEXT((CADOLIVE!P_2_9.l CADOLIVE!MT)),0,(CADOLIVE!P_2_9.l CADOLIVE!MT))</f>
        <v>0</v>
      </c>
    </row>
    <row r="48" spans="1:4" ht="15">
      <c r="A48" s="30" t="s">
        <v>1529</v>
      </c>
      <c r="B48" s="53">
        <f>IF(ISTEXT((CADOLIVE!P_2_10.a CADOLIVE!Qté)),0,(CADOLIVE!P_2_10.a CADOLIVE!Qté))</f>
        <v>0</v>
      </c>
      <c r="C48" s="31">
        <f>(CADOLIVE!P_2_10.a CADOLIVE!PU)</f>
        <v>0</v>
      </c>
      <c r="D48" s="31">
        <f>IF(ISTEXT((CADOLIVE!P_2_10.a CADOLIVE!MT)),0,(CADOLIVE!P_2_10.a CADOLIVE!MT))</f>
        <v>0</v>
      </c>
    </row>
    <row r="49" spans="1:4" ht="15">
      <c r="A49" s="30" t="s">
        <v>1530</v>
      </c>
      <c r="B49" s="53">
        <f>IF(ISTEXT((CADOLIVE!P_2_10.b CADOLIVE!Qté)),0,(CADOLIVE!P_2_10.b CADOLIVE!Qté))</f>
        <v>0</v>
      </c>
      <c r="C49" s="31">
        <f>(CADOLIVE!P_2_10.b CADOLIVE!PU)</f>
        <v>0</v>
      </c>
      <c r="D49" s="31">
        <f>IF(ISTEXT((CADOLIVE!P_2_10.b CADOLIVE!MT)),0,(CADOLIVE!P_2_10.b CADOLIVE!MT))</f>
        <v>0</v>
      </c>
    </row>
    <row r="50" spans="1:4" ht="15">
      <c r="A50" s="30" t="s">
        <v>1531</v>
      </c>
      <c r="B50" s="53">
        <f>IF(ISTEXT((CADOLIVE!P_2_10.c CADOLIVE!Qté)),0,(CADOLIVE!P_2_10.c CADOLIVE!Qté))</f>
        <v>0</v>
      </c>
      <c r="C50" s="31">
        <f>(CADOLIVE!P_2_10.c CADOLIVE!PU)</f>
        <v>0</v>
      </c>
      <c r="D50" s="31">
        <f>IF(ISTEXT((CADOLIVE!P_2_10.c CADOLIVE!MT)),0,(CADOLIVE!P_2_10.c CADOLIVE!MT))</f>
        <v>0</v>
      </c>
    </row>
    <row r="51" spans="1:4" ht="15">
      <c r="A51" s="30" t="s">
        <v>1532</v>
      </c>
      <c r="B51" s="53">
        <f>IF(ISTEXT((CADOLIVE!P_2_10.d CADOLIVE!Qté)),0,(CADOLIVE!P_2_10.d CADOLIVE!Qté))</f>
        <v>0</v>
      </c>
      <c r="C51" s="31">
        <f>(CADOLIVE!P_2_10.d CADOLIVE!PU)</f>
        <v>0</v>
      </c>
      <c r="D51" s="31">
        <f>IF(ISTEXT((CADOLIVE!P_2_10.d CADOLIVE!MT)),0,(CADOLIVE!P_2_10.d CADOLIVE!MT))</f>
        <v>0</v>
      </c>
    </row>
    <row r="52" spans="1:4" ht="15">
      <c r="A52" s="30" t="s">
        <v>1533</v>
      </c>
      <c r="B52" s="53">
        <f>IF(ISTEXT((CADOLIVE!P_2_10.e CADOLIVE!Qté)),0,(CADOLIVE!P_2_10.e CADOLIVE!Qté))</f>
        <v>0</v>
      </c>
      <c r="C52" s="31">
        <f>(CADOLIVE!P_2_10.e CADOLIVE!PU)</f>
        <v>0</v>
      </c>
      <c r="D52" s="31">
        <f>IF(ISTEXT((CADOLIVE!P_2_10.e CADOLIVE!MT)),0,(CADOLIVE!P_2_10.e CADOLIVE!MT))</f>
        <v>0</v>
      </c>
    </row>
    <row r="53" spans="1:4" ht="15">
      <c r="A53" s="30" t="s">
        <v>1534</v>
      </c>
      <c r="B53" s="53">
        <f>IF(ISTEXT((CADOLIVE!P_2_10.f CADOLIVE!Qté)),0,(CADOLIVE!P_2_10.f CADOLIVE!Qté))</f>
        <v>0</v>
      </c>
      <c r="C53" s="31">
        <f>(CADOLIVE!P_2_10.f CADOLIVE!PU)</f>
        <v>0</v>
      </c>
      <c r="D53" s="31">
        <f>IF(ISTEXT((CADOLIVE!P_2_10.f CADOLIVE!MT)),0,(CADOLIVE!P_2_10.f CADOLIVE!MT))</f>
        <v>0</v>
      </c>
    </row>
    <row r="54" spans="1:4" ht="15">
      <c r="A54" s="30" t="s">
        <v>1535</v>
      </c>
      <c r="B54" s="53">
        <f>IF(ISTEXT((CADOLIVE!P_2_10.g CADOLIVE!Qté)),0,(CADOLIVE!P_2_10.g CADOLIVE!Qté))</f>
        <v>0</v>
      </c>
      <c r="C54" s="31">
        <f>(CADOLIVE!P_2_10.g CADOLIVE!PU)</f>
        <v>0</v>
      </c>
      <c r="D54" s="31">
        <f>IF(ISTEXT((CADOLIVE!P_2_10.g CADOLIVE!MT)),0,(CADOLIVE!P_2_10.g CADOLIVE!MT))</f>
        <v>0</v>
      </c>
    </row>
    <row r="55" spans="1:4" ht="15">
      <c r="A55" s="30" t="s">
        <v>1536</v>
      </c>
      <c r="B55" s="53">
        <f>IF(ISTEXT((CADOLIVE!P_2_10.h CADOLIVE!Qté)),0,(CADOLIVE!P_2_10.h CADOLIVE!Qté))</f>
        <v>0</v>
      </c>
      <c r="C55" s="31">
        <f>(CADOLIVE!P_2_10.h CADOLIVE!PU)</f>
        <v>0</v>
      </c>
      <c r="D55" s="31">
        <f>IF(ISTEXT((CADOLIVE!P_2_10.h CADOLIVE!MT)),0,(CADOLIVE!P_2_10.h CADOLIVE!MT))</f>
        <v>0</v>
      </c>
    </row>
    <row r="56" spans="1:4" ht="15">
      <c r="A56" s="30" t="s">
        <v>1537</v>
      </c>
      <c r="B56" s="53">
        <f>IF(ISTEXT((CADOLIVE!P_2_10.i CADOLIVE!Qté)),0,(CADOLIVE!P_2_10.i CADOLIVE!Qté))</f>
        <v>0</v>
      </c>
      <c r="C56" s="31">
        <f>(CADOLIVE!P_2_10.i CADOLIVE!PU)</f>
        <v>0</v>
      </c>
      <c r="D56" s="31">
        <f>IF(ISTEXT((CADOLIVE!P_2_10.i CADOLIVE!MT)),0,(CADOLIVE!P_2_10.i CADOLIVE!MT))</f>
        <v>0</v>
      </c>
    </row>
    <row r="57" spans="1:4" ht="15">
      <c r="A57" s="30" t="s">
        <v>1538</v>
      </c>
      <c r="B57" s="53">
        <f>IF(ISTEXT((CADOLIVE!P_2_10.j CADOLIVE!Qté)),0,(CADOLIVE!P_2_10.j CADOLIVE!Qté))</f>
        <v>0</v>
      </c>
      <c r="C57" s="31">
        <f>(CADOLIVE!P_2_10.j CADOLIVE!PU)</f>
        <v>0</v>
      </c>
      <c r="D57" s="31">
        <f>IF(ISTEXT((CADOLIVE!P_2_10.j CADOLIVE!MT)),0,(CADOLIVE!P_2_10.j CADOLIVE!MT))</f>
        <v>0</v>
      </c>
    </row>
    <row r="58" spans="1:4" ht="15">
      <c r="A58" s="30" t="s">
        <v>1539</v>
      </c>
      <c r="B58" s="53">
        <f>IF(ISTEXT((CADOLIVE!P_2_10.k CADOLIVE!Qté)),0,(CADOLIVE!P_2_10.k CADOLIVE!Qté))</f>
        <v>0</v>
      </c>
      <c r="C58" s="31">
        <f>(CADOLIVE!P_2_10.k CADOLIVE!PU)</f>
        <v>0</v>
      </c>
      <c r="D58" s="31">
        <f>IF(ISTEXT((CADOLIVE!P_2_10.k CADOLIVE!MT)),0,(CADOLIVE!P_2_10.k CADOLIVE!MT))</f>
        <v>0</v>
      </c>
    </row>
    <row r="59" spans="1:4" ht="15">
      <c r="A59" s="30" t="s">
        <v>1540</v>
      </c>
      <c r="B59" s="53">
        <f>IF(ISTEXT((CADOLIVE!P_2_11.a CADOLIVE!Qté)),0,(CADOLIVE!P_2_11.a CADOLIVE!Qté))</f>
        <v>0</v>
      </c>
      <c r="C59" s="31">
        <f>(CADOLIVE!P_2_11.a CADOLIVE!PU)</f>
        <v>0</v>
      </c>
      <c r="D59" s="31">
        <f>IF(ISTEXT((CADOLIVE!P_2_11.a CADOLIVE!MT)),0,(CADOLIVE!P_2_11.a CADOLIVE!MT))</f>
        <v>0</v>
      </c>
    </row>
    <row r="60" spans="1:4" ht="15">
      <c r="A60" s="30" t="s">
        <v>1541</v>
      </c>
      <c r="B60" s="53">
        <f>IF(ISTEXT((CADOLIVE!P_2_11.b CADOLIVE!Qté)),0,(CADOLIVE!P_2_11.b CADOLIVE!Qté))</f>
        <v>0</v>
      </c>
      <c r="C60" s="31">
        <f>(CADOLIVE!P_2_11.b CADOLIVE!PU)</f>
        <v>0</v>
      </c>
      <c r="D60" s="31">
        <f>IF(ISTEXT((CADOLIVE!P_2_11.b CADOLIVE!MT)),0,(CADOLIVE!P_2_11.b CADOLIVE!MT))</f>
        <v>0</v>
      </c>
    </row>
    <row r="61" spans="1:4" ht="15">
      <c r="A61" s="30" t="s">
        <v>1542</v>
      </c>
      <c r="B61" s="53">
        <f>IF(ISTEXT((CADOLIVE!P_2_11.c CADOLIVE!Qté)),0,(CADOLIVE!P_2_11.c CADOLIVE!Qté))</f>
        <v>0</v>
      </c>
      <c r="C61" s="31">
        <f>(CADOLIVE!P_2_11.c CADOLIVE!PU)</f>
        <v>0</v>
      </c>
      <c r="D61" s="31">
        <f>IF(ISTEXT((CADOLIVE!P_2_11.c CADOLIVE!MT)),0,(CADOLIVE!P_2_11.c CADOLIVE!MT))</f>
        <v>0</v>
      </c>
    </row>
    <row r="62" spans="1:4" ht="15">
      <c r="A62" s="30" t="s">
        <v>1543</v>
      </c>
      <c r="B62" s="53">
        <f>IF(ISTEXT((CADOLIVE!P_2_11.d CADOLIVE!Qté)),0,(CADOLIVE!P_2_11.d CADOLIVE!Qté))</f>
        <v>0</v>
      </c>
      <c r="C62" s="31">
        <f>(CADOLIVE!P_2_11.d CADOLIVE!PU)</f>
        <v>0</v>
      </c>
      <c r="D62" s="31">
        <f>IF(ISTEXT((CADOLIVE!P_2_11.d CADOLIVE!MT)),0,(CADOLIVE!P_2_11.d CADOLIVE!MT))</f>
        <v>0</v>
      </c>
    </row>
    <row r="63" spans="1:4" ht="15">
      <c r="A63" s="30" t="s">
        <v>1544</v>
      </c>
      <c r="B63" s="53">
        <f>IF(ISTEXT((CADOLIVE!P_2_11.e CADOLIVE!Qté)),0,(CADOLIVE!P_2_11.e CADOLIVE!Qté))</f>
        <v>0</v>
      </c>
      <c r="C63" s="31">
        <f>(CADOLIVE!P_2_11.e CADOLIVE!PU)</f>
        <v>0</v>
      </c>
      <c r="D63" s="31">
        <f>IF(ISTEXT((CADOLIVE!P_2_11.e CADOLIVE!MT)),0,(CADOLIVE!P_2_11.e CADOLIVE!MT))</f>
        <v>0</v>
      </c>
    </row>
    <row r="64" spans="1:4" ht="15">
      <c r="A64" s="30" t="s">
        <v>1545</v>
      </c>
      <c r="B64" s="53">
        <f>IF(ISTEXT((CADOLIVE!P_2_11.f CADOLIVE!Qté)),0,(CADOLIVE!P_2_11.f CADOLIVE!Qté))</f>
        <v>0</v>
      </c>
      <c r="C64" s="31">
        <f>(CADOLIVE!P_2_11.f CADOLIVE!PU)</f>
        <v>0</v>
      </c>
      <c r="D64" s="31">
        <f>IF(ISTEXT((CADOLIVE!P_2_11.f CADOLIVE!MT)),0,(CADOLIVE!P_2_11.f CADOLIVE!MT))</f>
        <v>0</v>
      </c>
    </row>
    <row r="65" spans="1:4" ht="15">
      <c r="A65" s="30" t="s">
        <v>1546</v>
      </c>
      <c r="B65" s="53">
        <f>IF(ISTEXT((CADOLIVE!P_2_12.a CADOLIVE!Qté)),0,(CADOLIVE!P_2_12.a CADOLIVE!Qté))</f>
        <v>0</v>
      </c>
      <c r="C65" s="31">
        <f>(CADOLIVE!P_2_12.a CADOLIVE!PU)</f>
        <v>0</v>
      </c>
      <c r="D65" s="31">
        <f>IF(ISTEXT((CADOLIVE!P_2_12.a CADOLIVE!MT)),0,(CADOLIVE!P_2_12.a CADOLIVE!MT))</f>
        <v>0</v>
      </c>
    </row>
    <row r="66" spans="1:4" ht="15">
      <c r="A66" s="30" t="s">
        <v>1547</v>
      </c>
      <c r="B66" s="53">
        <f>IF(ISTEXT((CADOLIVE!P_2_12.b CADOLIVE!Qté)),0,(CADOLIVE!P_2_12.b CADOLIVE!Qté))</f>
        <v>0</v>
      </c>
      <c r="C66" s="31">
        <f>(CADOLIVE!P_2_12.b CADOLIVE!PU)</f>
        <v>0</v>
      </c>
      <c r="D66" s="31">
        <f>IF(ISTEXT((CADOLIVE!P_2_12.b CADOLIVE!MT)),0,(CADOLIVE!P_2_12.b CADOLIVE!MT))</f>
        <v>0</v>
      </c>
    </row>
    <row r="67" spans="1:4" ht="15">
      <c r="A67" s="30" t="s">
        <v>1548</v>
      </c>
      <c r="B67" s="53">
        <f>IF(ISTEXT((CADOLIVE!P_2_12.c CADOLIVE!Qté)),0,(CADOLIVE!P_2_12.c CADOLIVE!Qté))</f>
        <v>0</v>
      </c>
      <c r="C67" s="31">
        <f>(CADOLIVE!P_2_12.c CADOLIVE!PU)</f>
        <v>0</v>
      </c>
      <c r="D67" s="31">
        <f>IF(ISTEXT((CADOLIVE!P_2_12.c CADOLIVE!MT)),0,(CADOLIVE!P_2_12.c CADOLIVE!MT))</f>
        <v>0</v>
      </c>
    </row>
    <row r="68" spans="1:4" ht="15">
      <c r="A68" s="30" t="s">
        <v>1549</v>
      </c>
      <c r="B68" s="53">
        <f>IF(ISTEXT((CADOLIVE!P_2_12.d CADOLIVE!Qté)),0,(CADOLIVE!P_2_12.d CADOLIVE!Qté))</f>
        <v>0</v>
      </c>
      <c r="C68" s="31">
        <f>(CADOLIVE!P_2_12.d CADOLIVE!PU)</f>
        <v>0</v>
      </c>
      <c r="D68" s="31">
        <f>IF(ISTEXT((CADOLIVE!P_2_12.d CADOLIVE!MT)),0,(CADOLIVE!P_2_12.d CADOLIVE!MT))</f>
        <v>0</v>
      </c>
    </row>
    <row r="69" spans="1:4" ht="15">
      <c r="A69" s="30" t="s">
        <v>1550</v>
      </c>
      <c r="B69" s="53">
        <f>IF(ISTEXT((CADOLIVE!P_2_12.e CADOLIVE!Qté)),0,(CADOLIVE!P_2_12.e CADOLIVE!Qté))</f>
        <v>0</v>
      </c>
      <c r="C69" s="31">
        <f>(CADOLIVE!P_2_12.e CADOLIVE!PU)</f>
        <v>0</v>
      </c>
      <c r="D69" s="31">
        <f>IF(ISTEXT((CADOLIVE!P_2_12.e CADOLIVE!MT)),0,(CADOLIVE!P_2_12.e CADOLIVE!MT))</f>
        <v>0</v>
      </c>
    </row>
    <row r="70" spans="1:4" ht="15">
      <c r="A70" s="30" t="s">
        <v>1551</v>
      </c>
      <c r="B70" s="53">
        <f>IF(ISTEXT((CADOLIVE!P_2_12.f CADOLIVE!Qté)),0,(CADOLIVE!P_2_12.f CADOLIVE!Qté))</f>
        <v>0</v>
      </c>
      <c r="C70" s="31">
        <f>(CADOLIVE!P_2_12.f CADOLIVE!PU)</f>
        <v>0</v>
      </c>
      <c r="D70" s="31">
        <f>IF(ISTEXT((CADOLIVE!P_2_12.f CADOLIVE!MT)),0,(CADOLIVE!P_2_12.f CADOLIVE!MT))</f>
        <v>0</v>
      </c>
    </row>
    <row r="71" spans="1:4" ht="15">
      <c r="A71" s="30" t="s">
        <v>1552</v>
      </c>
      <c r="B71" s="53">
        <f>IF(ISTEXT((CADOLIVE!P_2_12.g CADOLIVE!Qté)),0,(CADOLIVE!P_2_12.g CADOLIVE!Qté))</f>
        <v>0</v>
      </c>
      <c r="C71" s="31">
        <f>(CADOLIVE!P_2_12.g CADOLIVE!PU)</f>
        <v>0</v>
      </c>
      <c r="D71" s="31">
        <f>IF(ISTEXT((CADOLIVE!P_2_12.g CADOLIVE!MT)),0,(CADOLIVE!P_2_12.g CADOLIVE!MT))</f>
        <v>0</v>
      </c>
    </row>
    <row r="72" spans="1:4" ht="15">
      <c r="A72" s="30" t="s">
        <v>1553</v>
      </c>
      <c r="B72" s="53">
        <f>IF(ISTEXT((CADOLIVE!P_2_12.h CADOLIVE!Qté)),0,(CADOLIVE!P_2_12.h CADOLIVE!Qté))</f>
        <v>0</v>
      </c>
      <c r="C72" s="31">
        <f>(CADOLIVE!P_2_12.h CADOLIVE!PU)</f>
        <v>0</v>
      </c>
      <c r="D72" s="31">
        <f>IF(ISTEXT((CADOLIVE!P_2_12.h CADOLIVE!MT)),0,(CADOLIVE!P_2_12.h CADOLIVE!MT))</f>
        <v>0</v>
      </c>
    </row>
    <row r="73" spans="1:4" ht="15">
      <c r="A73" s="30" t="s">
        <v>1554</v>
      </c>
      <c r="B73" s="53">
        <f>IF(ISTEXT((CADOLIVE!P_2_12.i CADOLIVE!Qté)),0,(CADOLIVE!P_2_12.i CADOLIVE!Qté))</f>
        <v>0</v>
      </c>
      <c r="C73" s="31">
        <f>(CADOLIVE!P_2_12.i CADOLIVE!PU)</f>
        <v>0</v>
      </c>
      <c r="D73" s="31">
        <f>IF(ISTEXT((CADOLIVE!P_2_12.i CADOLIVE!MT)),0,(CADOLIVE!P_2_12.i CADOLIVE!MT))</f>
        <v>0</v>
      </c>
    </row>
    <row r="74" spans="1:4" ht="15">
      <c r="A74" s="30" t="s">
        <v>1555</v>
      </c>
      <c r="B74" s="53">
        <f>IF(ISTEXT((CADOLIVE!P_2_13.a CADOLIVE!Qté)),0,(CADOLIVE!P_2_13.a CADOLIVE!Qté))</f>
        <v>0</v>
      </c>
      <c r="C74" s="31">
        <f>(CADOLIVE!P_2_13.a CADOLIVE!PU)</f>
        <v>0</v>
      </c>
      <c r="D74" s="31">
        <f>IF(ISTEXT((CADOLIVE!P_2_13.a CADOLIVE!MT)),0,(CADOLIVE!P_2_13.a CADOLIVE!MT))</f>
        <v>0</v>
      </c>
    </row>
    <row r="75" spans="1:4" ht="15">
      <c r="A75" s="30" t="s">
        <v>1556</v>
      </c>
      <c r="B75" s="53">
        <f>IF(ISTEXT((CADOLIVE!P_2_13.b CADOLIVE!Qté)),0,(CADOLIVE!P_2_13.b CADOLIVE!Qté))</f>
        <v>0</v>
      </c>
      <c r="C75" s="31">
        <f>(CADOLIVE!P_2_13.b CADOLIVE!PU)</f>
        <v>0</v>
      </c>
      <c r="D75" s="31">
        <f>IF(ISTEXT((CADOLIVE!P_2_13.b CADOLIVE!MT)),0,(CADOLIVE!P_2_13.b CADOLIVE!MT))</f>
        <v>0</v>
      </c>
    </row>
    <row r="76" spans="1:4" ht="15">
      <c r="A76" s="30" t="s">
        <v>1557</v>
      </c>
      <c r="B76" s="53">
        <f>IF(ISTEXT((CADOLIVE!P_2_13.c CADOLIVE!Qté)),0,(CADOLIVE!P_2_13.c CADOLIVE!Qté))</f>
        <v>0</v>
      </c>
      <c r="C76" s="31">
        <f>(CADOLIVE!P_2_13.c CADOLIVE!PU)</f>
        <v>0</v>
      </c>
      <c r="D76" s="31">
        <f>IF(ISTEXT((CADOLIVE!P_2_13.c CADOLIVE!MT)),0,(CADOLIVE!P_2_13.c CADOLIVE!MT))</f>
        <v>0</v>
      </c>
    </row>
    <row r="77" spans="1:4" ht="15">
      <c r="A77" s="30" t="s">
        <v>1558</v>
      </c>
      <c r="B77" s="53">
        <f>IF(ISTEXT((CADOLIVE!P_2_13.d CADOLIVE!Qté)),0,(CADOLIVE!P_2_13.d CADOLIVE!Qté))</f>
        <v>0</v>
      </c>
      <c r="C77" s="31">
        <f>(CADOLIVE!P_2_13.d CADOLIVE!PU)</f>
        <v>0</v>
      </c>
      <c r="D77" s="31">
        <f>IF(ISTEXT((CADOLIVE!P_2_13.d CADOLIVE!MT)),0,(CADOLIVE!P_2_13.d CADOLIVE!MT))</f>
        <v>0</v>
      </c>
    </row>
    <row r="78" spans="1:4" ht="15">
      <c r="A78" s="30" t="s">
        <v>1559</v>
      </c>
      <c r="B78" s="53">
        <f>IF(ISTEXT((CADOLIVE!P_2_13.e CADOLIVE!Qté)),0,(CADOLIVE!P_2_13.e CADOLIVE!Qté))</f>
        <v>0</v>
      </c>
      <c r="C78" s="31">
        <f>(CADOLIVE!P_2_13.e CADOLIVE!PU)</f>
        <v>0</v>
      </c>
      <c r="D78" s="31">
        <f>IF(ISTEXT((CADOLIVE!P_2_13.e CADOLIVE!MT)),0,(CADOLIVE!P_2_13.e CADOLIVE!MT))</f>
        <v>0</v>
      </c>
    </row>
    <row r="79" spans="1:4" ht="15">
      <c r="A79" s="30" t="s">
        <v>1560</v>
      </c>
      <c r="B79" s="53">
        <f>IF(ISTEXT((CADOLIVE!P_2_13.f CADOLIVE!Qté)),0,(CADOLIVE!P_2_13.f CADOLIVE!Qté))</f>
        <v>0</v>
      </c>
      <c r="C79" s="31">
        <f>(CADOLIVE!P_2_13.f CADOLIVE!PU)</f>
        <v>0</v>
      </c>
      <c r="D79" s="31">
        <f>IF(ISTEXT((CADOLIVE!P_2_13.f CADOLIVE!MT)),0,(CADOLIVE!P_2_13.f CADOLIVE!MT))</f>
        <v>0</v>
      </c>
    </row>
    <row r="80" spans="1:4" ht="15">
      <c r="A80" s="30" t="s">
        <v>1561</v>
      </c>
      <c r="B80" s="53">
        <f>IF(ISTEXT((CADOLIVE!P_2_13.g CADOLIVE!Qté)),0,(CADOLIVE!P_2_13.g CADOLIVE!Qté))</f>
        <v>0</v>
      </c>
      <c r="C80" s="31">
        <f>(CADOLIVE!P_2_13.g CADOLIVE!PU)</f>
        <v>0</v>
      </c>
      <c r="D80" s="31">
        <f>IF(ISTEXT((CADOLIVE!P_2_13.g CADOLIVE!MT)),0,(CADOLIVE!P_2_13.g CADOLIVE!MT))</f>
        <v>0</v>
      </c>
    </row>
    <row r="81" spans="1:4" ht="15">
      <c r="A81" s="30" t="s">
        <v>1562</v>
      </c>
      <c r="B81" s="53">
        <f>IF(ISTEXT((CADOLIVE!P_2_13.h CADOLIVE!Qté)),0,(CADOLIVE!P_2_13.h CADOLIVE!Qté))</f>
        <v>0</v>
      </c>
      <c r="C81" s="31">
        <f>(CADOLIVE!P_2_13.h CADOLIVE!PU)</f>
        <v>0</v>
      </c>
      <c r="D81" s="31">
        <f>IF(ISTEXT((CADOLIVE!P_2_13.h CADOLIVE!MT)),0,(CADOLIVE!P_2_13.h CADOLIVE!MT))</f>
        <v>0</v>
      </c>
    </row>
    <row r="82" spans="1:4" ht="15">
      <c r="A82" s="30" t="s">
        <v>1563</v>
      </c>
      <c r="B82" s="53">
        <f>IF(ISTEXT((CADOLIVE!P_2_13.i CADOLIVE!Qté)),0,(CADOLIVE!P_2_13.i CADOLIVE!Qté))</f>
        <v>0</v>
      </c>
      <c r="C82" s="31">
        <f>(CADOLIVE!P_2_13.i CADOLIVE!PU)</f>
        <v>0</v>
      </c>
      <c r="D82" s="31">
        <f>IF(ISTEXT((CADOLIVE!P_2_13.i CADOLIVE!MT)),0,(CADOLIVE!P_2_13.i CADOLIVE!MT))</f>
        <v>0</v>
      </c>
    </row>
    <row r="83" spans="1:4" ht="15">
      <c r="A83" s="30" t="s">
        <v>1564</v>
      </c>
      <c r="B83" s="53">
        <f>IF(ISTEXT((CADOLIVE!P_2_13.j CADOLIVE!Qté)),0,(CADOLIVE!P_2_13.j CADOLIVE!Qté))</f>
        <v>0</v>
      </c>
      <c r="C83" s="31">
        <f>(CADOLIVE!P_2_13.j CADOLIVE!PU)</f>
        <v>0</v>
      </c>
      <c r="D83" s="31">
        <f>IF(ISTEXT((CADOLIVE!P_2_13.j CADOLIVE!MT)),0,(CADOLIVE!P_2_13.j CADOLIVE!MT))</f>
        <v>0</v>
      </c>
    </row>
    <row r="84" spans="1:4" ht="15">
      <c r="A84" s="30" t="s">
        <v>1565</v>
      </c>
      <c r="B84" s="53">
        <f>IF(ISTEXT((CADOLIVE!P_2_14.a CADOLIVE!Qté)),0,(CADOLIVE!P_2_14.a CADOLIVE!Qté))</f>
        <v>0</v>
      </c>
      <c r="C84" s="31">
        <f>(CADOLIVE!P_2_14.a CADOLIVE!PU)</f>
        <v>0</v>
      </c>
      <c r="D84" s="31">
        <f>IF(ISTEXT((CADOLIVE!P_2_14.a CADOLIVE!MT)),0,(CADOLIVE!P_2_14.a CADOLIVE!MT))</f>
        <v>0</v>
      </c>
    </row>
    <row r="85" spans="1:4" ht="15">
      <c r="A85" s="30" t="s">
        <v>1566</v>
      </c>
      <c r="B85" s="53">
        <f>IF(ISTEXT((CADOLIVE!P_2_14.b CADOLIVE!Qté)),0,(CADOLIVE!P_2_14.b CADOLIVE!Qté))</f>
        <v>0</v>
      </c>
      <c r="C85" s="31">
        <f>(CADOLIVE!P_2_14.b CADOLIVE!PU)</f>
        <v>0</v>
      </c>
      <c r="D85" s="31">
        <f>IF(ISTEXT((CADOLIVE!P_2_14.b CADOLIVE!MT)),0,(CADOLIVE!P_2_14.b CADOLIVE!MT))</f>
        <v>0</v>
      </c>
    </row>
    <row r="86" spans="1:4" ht="15">
      <c r="A86" s="30" t="s">
        <v>1567</v>
      </c>
      <c r="B86" s="53">
        <f>IF(ISTEXT((CADOLIVE!P_2_14.c CADOLIVE!Qté)),0,(CADOLIVE!P_2_14.c CADOLIVE!Qté))</f>
        <v>0</v>
      </c>
      <c r="C86" s="31">
        <f>(CADOLIVE!P_2_14.c CADOLIVE!PU)</f>
        <v>0</v>
      </c>
      <c r="D86" s="31">
        <f>IF(ISTEXT((CADOLIVE!P_2_14.c CADOLIVE!MT)),0,(CADOLIVE!P_2_14.c CADOLIVE!MT))</f>
        <v>0</v>
      </c>
    </row>
    <row r="87" spans="1:4" ht="15">
      <c r="A87" s="30" t="s">
        <v>1568</v>
      </c>
      <c r="B87" s="53">
        <f>IF(ISTEXT((CADOLIVE!P_2_14.d CADOLIVE!Qté)),0,(CADOLIVE!P_2_14.d CADOLIVE!Qté))</f>
        <v>0</v>
      </c>
      <c r="C87" s="31">
        <f>(CADOLIVE!P_2_14.d CADOLIVE!PU)</f>
        <v>0</v>
      </c>
      <c r="D87" s="31">
        <f>IF(ISTEXT((CADOLIVE!P_2_14.d CADOLIVE!MT)),0,(CADOLIVE!P_2_14.d CADOLIVE!MT))</f>
        <v>0</v>
      </c>
    </row>
    <row r="88" spans="1:4" ht="15">
      <c r="A88" s="30" t="s">
        <v>1569</v>
      </c>
      <c r="B88" s="53">
        <f>IF(ISTEXT((CADOLIVE!P_2_14.e CADOLIVE!Qté)),0,(CADOLIVE!P_2_14.e CADOLIVE!Qté))</f>
        <v>0</v>
      </c>
      <c r="C88" s="31">
        <f>(CADOLIVE!P_2_14.e CADOLIVE!PU)</f>
        <v>0</v>
      </c>
      <c r="D88" s="31">
        <f>IF(ISTEXT((CADOLIVE!P_2_14.e CADOLIVE!MT)),0,(CADOLIVE!P_2_14.e CADOLIVE!MT))</f>
        <v>0</v>
      </c>
    </row>
    <row r="89" spans="1:4" ht="15">
      <c r="A89" s="30" t="s">
        <v>1570</v>
      </c>
      <c r="B89" s="53">
        <f>IF(ISTEXT((CADOLIVE!P_2_15.a CADOLIVE!Qté)),0,(CADOLIVE!P_2_15.a CADOLIVE!Qté))</f>
        <v>0</v>
      </c>
      <c r="C89" s="31">
        <f>(CADOLIVE!P_2_15.a CADOLIVE!PU)</f>
        <v>0</v>
      </c>
      <c r="D89" s="31">
        <f>IF(ISTEXT((CADOLIVE!P_2_15.a CADOLIVE!MT)),0,(CADOLIVE!P_2_15.a CADOLIVE!MT))</f>
        <v>0</v>
      </c>
    </row>
    <row r="90" spans="1:4" ht="15">
      <c r="A90" s="30" t="s">
        <v>1571</v>
      </c>
      <c r="B90" s="53">
        <f>IF(ISTEXT((CADOLIVE!P_2_15.b CADOLIVE!Qté)),0,(CADOLIVE!P_2_15.b CADOLIVE!Qté))</f>
        <v>0</v>
      </c>
      <c r="C90" s="31">
        <f>(CADOLIVE!P_2_15.b CADOLIVE!PU)</f>
        <v>0</v>
      </c>
      <c r="D90" s="31">
        <f>IF(ISTEXT((CADOLIVE!P_2_15.b CADOLIVE!MT)),0,(CADOLIVE!P_2_15.b CADOLIVE!MT))</f>
        <v>0</v>
      </c>
    </row>
    <row r="91" spans="1:4" ht="15">
      <c r="A91" s="30" t="s">
        <v>1572</v>
      </c>
      <c r="B91" s="53">
        <f>IF(ISTEXT((CADOLIVE!P_2_15.c CADOLIVE!Qté)),0,(CADOLIVE!P_2_15.c CADOLIVE!Qté))</f>
        <v>0</v>
      </c>
      <c r="C91" s="31">
        <f>(CADOLIVE!P_2_15.c CADOLIVE!PU)</f>
        <v>0</v>
      </c>
      <c r="D91" s="31">
        <f>IF(ISTEXT((CADOLIVE!P_2_15.c CADOLIVE!MT)),0,(CADOLIVE!P_2_15.c CADOLIVE!MT))</f>
        <v>0</v>
      </c>
    </row>
    <row r="92" spans="1:4" ht="15">
      <c r="A92" s="30" t="s">
        <v>1573</v>
      </c>
      <c r="B92" s="53">
        <f>IF(ISTEXT((CADOLIVE!P_2_15.d CADOLIVE!Qté)),0,(CADOLIVE!P_2_15.d CADOLIVE!Qté))</f>
        <v>0</v>
      </c>
      <c r="C92" s="31">
        <f>(CADOLIVE!P_2_15.d CADOLIVE!PU)</f>
        <v>0</v>
      </c>
      <c r="D92" s="31">
        <f>IF(ISTEXT((CADOLIVE!P_2_15.d CADOLIVE!MT)),0,(CADOLIVE!P_2_15.d CADOLIVE!MT))</f>
        <v>0</v>
      </c>
    </row>
    <row r="93" spans="1:4" ht="15">
      <c r="A93" s="30" t="s">
        <v>1574</v>
      </c>
      <c r="B93" s="53">
        <f>IF(ISTEXT((CADOLIVE!P_2_15.e CADOLIVE!Qté)),0,(CADOLIVE!P_2_15.e CADOLIVE!Qté))</f>
        <v>0</v>
      </c>
      <c r="C93" s="31">
        <f>(CADOLIVE!P_2_15.e CADOLIVE!PU)</f>
        <v>0</v>
      </c>
      <c r="D93" s="31">
        <f>IF(ISTEXT((CADOLIVE!P_2_15.e CADOLIVE!MT)),0,(CADOLIVE!P_2_15.e CADOLIVE!MT))</f>
        <v>0</v>
      </c>
    </row>
    <row r="94" spans="1:4" ht="15">
      <c r="A94" s="30" t="s">
        <v>1575</v>
      </c>
      <c r="B94" s="53">
        <f>IF(ISTEXT((CADOLIVE!P_2_15.f CADOLIVE!Qté)),0,(CADOLIVE!P_2_15.f CADOLIVE!Qté))</f>
        <v>0</v>
      </c>
      <c r="C94" s="31">
        <f>(CADOLIVE!P_2_15.f CADOLIVE!PU)</f>
        <v>0</v>
      </c>
      <c r="D94" s="31">
        <f>IF(ISTEXT((CADOLIVE!P_2_15.f CADOLIVE!MT)),0,(CADOLIVE!P_2_15.f CADOLIVE!MT))</f>
        <v>0</v>
      </c>
    </row>
    <row r="95" spans="1:4" ht="15">
      <c r="A95" s="30" t="s">
        <v>1576</v>
      </c>
      <c r="B95" s="53">
        <f>IF(ISTEXT((CADOLIVE!P_2_16.a CADOLIVE!Qté)),0,(CADOLIVE!P_2_16.a CADOLIVE!Qté))</f>
        <v>0</v>
      </c>
      <c r="C95" s="31">
        <f>(CADOLIVE!P_2_16.a CADOLIVE!PU)</f>
        <v>0</v>
      </c>
      <c r="D95" s="31">
        <f>IF(ISTEXT((CADOLIVE!P_2_16.a CADOLIVE!MT)),0,(CADOLIVE!P_2_16.a CADOLIVE!MT))</f>
        <v>0</v>
      </c>
    </row>
    <row r="96" spans="1:4" ht="15">
      <c r="A96" s="30" t="s">
        <v>1577</v>
      </c>
      <c r="B96" s="53">
        <f>IF(ISTEXT((CADOLIVE!P_2_16.b CADOLIVE!Qté)),0,(CADOLIVE!P_2_16.b CADOLIVE!Qté))</f>
        <v>0</v>
      </c>
      <c r="C96" s="31">
        <f>(CADOLIVE!P_2_16.b CADOLIVE!PU)</f>
        <v>0</v>
      </c>
      <c r="D96" s="31">
        <f>IF(ISTEXT((CADOLIVE!P_2_16.b CADOLIVE!MT)),0,(CADOLIVE!P_2_16.b CADOLIVE!MT))</f>
        <v>0</v>
      </c>
    </row>
    <row r="97" spans="1:4" ht="15">
      <c r="A97" s="30" t="s">
        <v>1578</v>
      </c>
      <c r="B97" s="53">
        <f>IF(ISTEXT((CADOLIVE!P_2_16.c CADOLIVE!Qté)),0,(CADOLIVE!P_2_16.c CADOLIVE!Qté))</f>
        <v>0</v>
      </c>
      <c r="C97" s="31">
        <f>(CADOLIVE!P_2_16.c CADOLIVE!PU)</f>
        <v>0</v>
      </c>
      <c r="D97" s="31">
        <f>IF(ISTEXT((CADOLIVE!P_2_16.c CADOLIVE!MT)),0,(CADOLIVE!P_2_16.c CADOLIVE!MT))</f>
        <v>0</v>
      </c>
    </row>
    <row r="98" spans="1:4" ht="15">
      <c r="A98" s="30" t="s">
        <v>1579</v>
      </c>
      <c r="B98" s="53">
        <f>IF(ISTEXT((CADOLIVE!P_2_16.d CADOLIVE!Qté)),0,(CADOLIVE!P_2_16.d CADOLIVE!Qté))</f>
        <v>0</v>
      </c>
      <c r="C98" s="31">
        <f>(CADOLIVE!P_2_16.d CADOLIVE!PU)</f>
        <v>0</v>
      </c>
      <c r="D98" s="31">
        <f>IF(ISTEXT((CADOLIVE!P_2_16.d CADOLIVE!MT)),0,(CADOLIVE!P_2_16.d CADOLIVE!MT))</f>
        <v>0</v>
      </c>
    </row>
    <row r="99" spans="1:4" ht="15">
      <c r="A99" s="30" t="s">
        <v>1580</v>
      </c>
      <c r="B99" s="53">
        <f>IF(ISTEXT((CADOLIVE!P_2_16.e CADOLIVE!Qté)),0,(CADOLIVE!P_2_16.e CADOLIVE!Qté))</f>
        <v>0</v>
      </c>
      <c r="C99" s="31">
        <f>(CADOLIVE!P_2_16.e CADOLIVE!PU)</f>
        <v>0</v>
      </c>
      <c r="D99" s="31">
        <f>IF(ISTEXT((CADOLIVE!P_2_16.e CADOLIVE!MT)),0,(CADOLIVE!P_2_16.e CADOLIVE!MT))</f>
        <v>0</v>
      </c>
    </row>
    <row r="100" spans="1:4" ht="15">
      <c r="A100" s="30" t="s">
        <v>1581</v>
      </c>
      <c r="B100" s="53">
        <f>IF(ISTEXT((CADOLIVE!P_2_16.f CADOLIVE!Qté)),0,(CADOLIVE!P_2_16.f CADOLIVE!Qté))</f>
        <v>0</v>
      </c>
      <c r="C100" s="31">
        <f>(CADOLIVE!P_2_16.f CADOLIVE!PU)</f>
        <v>0</v>
      </c>
      <c r="D100" s="31">
        <f>IF(ISTEXT((CADOLIVE!P_2_16.f CADOLIVE!MT)),0,(CADOLIVE!P_2_16.f CADOLIVE!MT))</f>
        <v>0</v>
      </c>
    </row>
    <row r="101" spans="1:4" ht="15">
      <c r="A101" s="30" t="s">
        <v>1582</v>
      </c>
      <c r="B101" s="53">
        <f>IF(ISTEXT((CADOLIVE!P_2_17.a CADOLIVE!Qté)),0,(CADOLIVE!P_2_17.a CADOLIVE!Qté))</f>
        <v>0</v>
      </c>
      <c r="C101" s="31">
        <f>(CADOLIVE!P_2_17.a CADOLIVE!PU)</f>
        <v>0</v>
      </c>
      <c r="D101" s="31">
        <f>IF(ISTEXT((CADOLIVE!P_2_17.a CADOLIVE!MT)),0,(CADOLIVE!P_2_17.a CADOLIVE!MT))</f>
        <v>0</v>
      </c>
    </row>
    <row r="102" spans="1:4" ht="15">
      <c r="A102" s="30" t="s">
        <v>1583</v>
      </c>
      <c r="B102" s="53">
        <f>IF(ISTEXT((CADOLIVE!P_2_17.b CADOLIVE!Qté)),0,(CADOLIVE!P_2_17.b CADOLIVE!Qté))</f>
        <v>0</v>
      </c>
      <c r="C102" s="31">
        <f>(CADOLIVE!P_2_17.b CADOLIVE!PU)</f>
        <v>0</v>
      </c>
      <c r="D102" s="31">
        <f>IF(ISTEXT((CADOLIVE!P_2_17.b CADOLIVE!MT)),0,(CADOLIVE!P_2_17.b CADOLIVE!MT))</f>
        <v>0</v>
      </c>
    </row>
    <row r="103" spans="1:4" ht="15">
      <c r="A103" s="30" t="s">
        <v>1584</v>
      </c>
      <c r="B103" s="53">
        <f>IF(ISTEXT((CADOLIVE!P_2_17.c CADOLIVE!Qté)),0,(CADOLIVE!P_2_17.c CADOLIVE!Qté))</f>
        <v>0</v>
      </c>
      <c r="C103" s="31">
        <f>(CADOLIVE!P_2_17.c CADOLIVE!PU)</f>
        <v>0</v>
      </c>
      <c r="D103" s="31">
        <f>IF(ISTEXT((CADOLIVE!P_2_17.c CADOLIVE!MT)),0,(CADOLIVE!P_2_17.c CADOLIVE!MT))</f>
        <v>0</v>
      </c>
    </row>
    <row r="104" spans="1:4" ht="15">
      <c r="A104" s="30" t="s">
        <v>1585</v>
      </c>
      <c r="B104" s="53">
        <f>IF(ISTEXT((CADOLIVE!P_2_17.d CADOLIVE!Qté)),0,(CADOLIVE!P_2_17.d CADOLIVE!Qté))</f>
        <v>0</v>
      </c>
      <c r="C104" s="31">
        <f>(CADOLIVE!P_2_17.d CADOLIVE!PU)</f>
        <v>0</v>
      </c>
      <c r="D104" s="31">
        <f>IF(ISTEXT((CADOLIVE!P_2_17.d CADOLIVE!MT)),0,(CADOLIVE!P_2_17.d CADOLIVE!MT))</f>
        <v>0</v>
      </c>
    </row>
    <row r="105" spans="1:4" ht="15">
      <c r="A105" s="30" t="s">
        <v>1586</v>
      </c>
      <c r="B105" s="53">
        <f>IF(ISTEXT((CADOLIVE!P_2_17.e CADOLIVE!Qté)),0,(CADOLIVE!P_2_17.e CADOLIVE!Qté))</f>
        <v>0</v>
      </c>
      <c r="C105" s="31">
        <f>(CADOLIVE!P_2_17.e CADOLIVE!PU)</f>
        <v>0</v>
      </c>
      <c r="D105" s="31">
        <f>IF(ISTEXT((CADOLIVE!P_2_17.e CADOLIVE!MT)),0,(CADOLIVE!P_2_17.e CADOLIVE!MT))</f>
        <v>0</v>
      </c>
    </row>
    <row r="106" spans="1:4" ht="15">
      <c r="A106" s="30" t="s">
        <v>1587</v>
      </c>
      <c r="B106" s="53">
        <f>IF(ISTEXT((CADOLIVE!P_2_18.a CADOLIVE!Qté)),0,(CADOLIVE!P_2_18.a CADOLIVE!Qté))</f>
        <v>0</v>
      </c>
      <c r="C106" s="31">
        <f>(CADOLIVE!P_2_18.a CADOLIVE!PU)</f>
        <v>0</v>
      </c>
      <c r="D106" s="31">
        <f>IF(ISTEXT((CADOLIVE!P_2_18.a CADOLIVE!MT)),0,(CADOLIVE!P_2_18.a CADOLIVE!MT))</f>
        <v>0</v>
      </c>
    </row>
    <row r="107" spans="1:4" ht="15">
      <c r="A107" s="30" t="s">
        <v>1588</v>
      </c>
      <c r="B107" s="53">
        <f>IF(ISTEXT((CADOLIVE!P_2_18.b CADOLIVE!Qté)),0,(CADOLIVE!P_2_18.b CADOLIVE!Qté))</f>
        <v>0</v>
      </c>
      <c r="C107" s="31">
        <f>(CADOLIVE!P_2_18.b CADOLIVE!PU)</f>
        <v>0</v>
      </c>
      <c r="D107" s="31">
        <f>IF(ISTEXT((CADOLIVE!P_2_18.b CADOLIVE!MT)),0,(CADOLIVE!P_2_18.b CADOLIVE!MT))</f>
        <v>0</v>
      </c>
    </row>
    <row r="108" spans="1:4" ht="15">
      <c r="A108" s="30" t="s">
        <v>1589</v>
      </c>
      <c r="B108" s="53">
        <f>IF(ISTEXT((CADOLIVE!P_2_18.c CADOLIVE!Qté)),0,(CADOLIVE!P_2_18.c CADOLIVE!Qté))</f>
        <v>0</v>
      </c>
      <c r="C108" s="31">
        <f>(CADOLIVE!P_2_18.c CADOLIVE!PU)</f>
        <v>0</v>
      </c>
      <c r="D108" s="31">
        <f>IF(ISTEXT((CADOLIVE!P_2_18.c CADOLIVE!MT)),0,(CADOLIVE!P_2_18.c CADOLIVE!MT))</f>
        <v>0</v>
      </c>
    </row>
    <row r="109" spans="1:4" ht="15">
      <c r="A109" s="30" t="s">
        <v>1590</v>
      </c>
      <c r="B109" s="53">
        <f>IF(ISTEXT((CADOLIVE!P_2_18.d CADOLIVE!Qté)),0,(CADOLIVE!P_2_18.d CADOLIVE!Qté))</f>
        <v>0</v>
      </c>
      <c r="C109" s="31">
        <f>(CADOLIVE!P_2_18.d CADOLIVE!PU)</f>
        <v>0</v>
      </c>
      <c r="D109" s="31">
        <f>IF(ISTEXT((CADOLIVE!P_2_18.d CADOLIVE!MT)),0,(CADOLIVE!P_2_18.d CADOLIVE!MT))</f>
        <v>0</v>
      </c>
    </row>
    <row r="110" spans="1:4" ht="15">
      <c r="A110" s="30" t="s">
        <v>1591</v>
      </c>
      <c r="B110" s="53">
        <f>IF(ISTEXT((CADOLIVE!P_2_19.a CADOLIVE!Qté)),0,(CADOLIVE!P_2_19.a CADOLIVE!Qté))</f>
        <v>0</v>
      </c>
      <c r="C110" s="31">
        <f>(CADOLIVE!P_2_19.a CADOLIVE!PU)</f>
        <v>0</v>
      </c>
      <c r="D110" s="31">
        <f>IF(ISTEXT((CADOLIVE!P_2_19.a CADOLIVE!MT)),0,(CADOLIVE!P_2_19.a CADOLIVE!MT))</f>
        <v>0</v>
      </c>
    </row>
    <row r="111" spans="1:4" ht="15">
      <c r="A111" s="30" t="s">
        <v>1592</v>
      </c>
      <c r="B111" s="53">
        <f>IF(ISTEXT((CADOLIVE!P_2_19.b CADOLIVE!Qté)),0,(CADOLIVE!P_2_19.b CADOLIVE!Qté))</f>
        <v>0</v>
      </c>
      <c r="C111" s="31">
        <f>(CADOLIVE!P_2_19.b CADOLIVE!PU)</f>
        <v>0</v>
      </c>
      <c r="D111" s="31">
        <f>IF(ISTEXT((CADOLIVE!P_2_19.b CADOLIVE!MT)),0,(CADOLIVE!P_2_19.b CADOLIVE!MT))</f>
        <v>0</v>
      </c>
    </row>
    <row r="112" spans="1:4" ht="15">
      <c r="A112" s="30" t="s">
        <v>1593</v>
      </c>
      <c r="B112" s="53">
        <f>IF(ISTEXT((CADOLIVE!P_2_20.a CADOLIVE!Qté)),0,(CADOLIVE!P_2_20.a CADOLIVE!Qté))</f>
        <v>0</v>
      </c>
      <c r="C112" s="31">
        <f>(CADOLIVE!P_2_20.a CADOLIVE!PU)</f>
        <v>0</v>
      </c>
      <c r="D112" s="31">
        <f>IF(ISTEXT((CADOLIVE!P_2_20.a CADOLIVE!MT)),0,(CADOLIVE!P_2_20.a CADOLIVE!MT))</f>
        <v>0</v>
      </c>
    </row>
    <row r="113" spans="1:4" ht="15">
      <c r="A113" s="30" t="s">
        <v>1594</v>
      </c>
      <c r="B113" s="53">
        <f>IF(ISTEXT((CADOLIVE!P_2_20.b CADOLIVE!Qté)),0,(CADOLIVE!P_2_20.b CADOLIVE!Qté))</f>
        <v>0</v>
      </c>
      <c r="C113" s="31">
        <f>(CADOLIVE!P_2_20.b CADOLIVE!PU)</f>
        <v>0</v>
      </c>
      <c r="D113" s="31">
        <f>IF(ISTEXT((CADOLIVE!P_2_20.b CADOLIVE!MT)),0,(CADOLIVE!P_2_20.b CADOLIVE!MT))</f>
        <v>0</v>
      </c>
    </row>
    <row r="114" spans="1:4" ht="15">
      <c r="A114" s="30" t="s">
        <v>1595</v>
      </c>
      <c r="B114" s="53">
        <f>IF(ISTEXT((CADOLIVE!P_2_20.c CADOLIVE!Qté)),0,(CADOLIVE!P_2_20.c CADOLIVE!Qté))</f>
        <v>0</v>
      </c>
      <c r="C114" s="31">
        <f>(CADOLIVE!P_2_20.c CADOLIVE!PU)</f>
        <v>0</v>
      </c>
      <c r="D114" s="31">
        <f>IF(ISTEXT((CADOLIVE!P_2_20.c CADOLIVE!MT)),0,(CADOLIVE!P_2_20.c CADOLIVE!MT))</f>
        <v>0</v>
      </c>
    </row>
    <row r="115" spans="1:4" ht="15">
      <c r="A115" s="30" t="s">
        <v>1596</v>
      </c>
      <c r="B115" s="53">
        <f>IF(ISTEXT((CADOLIVE!P_2_20.d CADOLIVE!Qté)),0,(CADOLIVE!P_2_20.d CADOLIVE!Qté))</f>
        <v>0</v>
      </c>
      <c r="C115" s="31">
        <f>(CADOLIVE!P_2_20.d CADOLIVE!PU)</f>
        <v>0</v>
      </c>
      <c r="D115" s="31">
        <f>IF(ISTEXT((CADOLIVE!P_2_20.d CADOLIVE!MT)),0,(CADOLIVE!P_2_20.d CADOLIVE!MT))</f>
        <v>0</v>
      </c>
    </row>
    <row r="116" spans="1:4" ht="15">
      <c r="A116" s="30" t="s">
        <v>1597</v>
      </c>
      <c r="B116" s="53">
        <f>IF(ISTEXT((CADOLIVE!P_2_21.a CADOLIVE!Qté)),0,(CADOLIVE!P_2_21.a CADOLIVE!Qté))</f>
        <v>0</v>
      </c>
      <c r="C116" s="31">
        <f>(CADOLIVE!P_2_21.a CADOLIVE!PU)</f>
        <v>0</v>
      </c>
      <c r="D116" s="31">
        <f>IF(ISTEXT((CADOLIVE!P_2_21.a CADOLIVE!MT)),0,(CADOLIVE!P_2_21.a CADOLIVE!MT))</f>
        <v>0</v>
      </c>
    </row>
    <row r="117" spans="1:4" ht="15">
      <c r="A117" s="30" t="s">
        <v>1372</v>
      </c>
      <c r="B117" s="53">
        <f>IF(ISTEXT((CADOLIVE!P_2_21.b CADOLIVE!Qté)),0,(CADOLIVE!P_2_21.b CADOLIVE!Qté))</f>
        <v>0</v>
      </c>
      <c r="C117" s="31">
        <f>(CADOLIVE!P_2_21.b CADOLIVE!PU)</f>
        <v>0</v>
      </c>
      <c r="D117" s="31">
        <f>IF(ISTEXT((CADOLIVE!P_2_21.b CADOLIVE!MT)),0,(CADOLIVE!P_2_21.b CADOLIVE!MT))</f>
        <v>0</v>
      </c>
    </row>
    <row r="118" spans="1:4" ht="15">
      <c r="A118" s="30" t="s">
        <v>1598</v>
      </c>
      <c r="B118" s="53">
        <f>IF(ISTEXT((CADOLIVE!P_2_22.a CADOLIVE!Qté)),0,(CADOLIVE!P_2_22.a CADOLIVE!Qté))</f>
        <v>0</v>
      </c>
      <c r="C118" s="31">
        <f>(CADOLIVE!P_2_22.a CADOLIVE!PU)</f>
        <v>0</v>
      </c>
      <c r="D118" s="31">
        <f>IF(ISTEXT((CADOLIVE!P_2_22.a CADOLIVE!MT)),0,(CADOLIVE!P_2_22.a CADOLIVE!MT))</f>
        <v>0</v>
      </c>
    </row>
    <row r="119" spans="1:4" ht="15">
      <c r="A119" s="30" t="s">
        <v>1599</v>
      </c>
      <c r="B119" s="53">
        <f>IF(ISTEXT((CADOLIVE!P_2_22.b CADOLIVE!Qté)),0,(CADOLIVE!P_2_22.b CADOLIVE!Qté))</f>
        <v>0</v>
      </c>
      <c r="C119" s="31">
        <f>(CADOLIVE!P_2_22.b CADOLIVE!PU)</f>
        <v>0</v>
      </c>
      <c r="D119" s="31">
        <f>IF(ISTEXT((CADOLIVE!P_2_22.b CADOLIVE!MT)),0,(CADOLIVE!P_2_22.b CADOLIVE!MT))</f>
        <v>0</v>
      </c>
    </row>
    <row r="120" spans="1:4" ht="15">
      <c r="A120" s="30" t="s">
        <v>1600</v>
      </c>
      <c r="B120" s="53">
        <f>IF(ISTEXT((CADOLIVE!P_2_22.c CADOLIVE!Qté)),0,(CADOLIVE!P_2_22.c CADOLIVE!Qté))</f>
        <v>0</v>
      </c>
      <c r="C120" s="31">
        <f>(CADOLIVE!P_2_22.c CADOLIVE!PU)</f>
        <v>0</v>
      </c>
      <c r="D120" s="31">
        <f>IF(ISTEXT((CADOLIVE!P_2_22.c CADOLIVE!MT)),0,(CADOLIVE!P_2_22.c CADOLIVE!MT))</f>
        <v>0</v>
      </c>
    </row>
    <row r="121" spans="1:4" ht="15">
      <c r="A121" s="30" t="s">
        <v>1601</v>
      </c>
      <c r="B121" s="53">
        <f>IF(ISTEXT((CADOLIVE!P_2_23.a CADOLIVE!Qté)),0,(CADOLIVE!P_2_23.a CADOLIVE!Qté))</f>
        <v>0</v>
      </c>
      <c r="C121" s="31">
        <f>(CADOLIVE!P_2_23.a CADOLIVE!PU)</f>
        <v>0</v>
      </c>
      <c r="D121" s="31">
        <f>IF(ISTEXT((CADOLIVE!P_2_23.a CADOLIVE!MT)),0,(CADOLIVE!P_2_23.a CADOLIVE!MT))</f>
        <v>0</v>
      </c>
    </row>
    <row r="122" spans="1:4" ht="15">
      <c r="A122" s="30" t="s">
        <v>1602</v>
      </c>
      <c r="B122" s="53">
        <f>IF(ISTEXT((CADOLIVE!P_2_23.b CADOLIVE!Qté)),0,(CADOLIVE!P_2_23.b CADOLIVE!Qté))</f>
        <v>0</v>
      </c>
      <c r="C122" s="31">
        <f>(CADOLIVE!P_2_23.b CADOLIVE!PU)</f>
        <v>0</v>
      </c>
      <c r="D122" s="31">
        <f>IF(ISTEXT((CADOLIVE!P_2_23.b CADOLIVE!MT)),0,(CADOLIVE!P_2_23.b CADOLIVE!MT))</f>
        <v>0</v>
      </c>
    </row>
    <row r="123" spans="1:4" ht="15">
      <c r="A123" s="30" t="s">
        <v>1603</v>
      </c>
      <c r="B123" s="53">
        <f>IF(ISTEXT((CADOLIVE!P_2_23.c CADOLIVE!Qté)),0,(CADOLIVE!P_2_23.c CADOLIVE!Qté))</f>
        <v>0</v>
      </c>
      <c r="C123" s="31">
        <f>(CADOLIVE!P_2_23.c CADOLIVE!PU)</f>
        <v>0</v>
      </c>
      <c r="D123" s="31">
        <f>IF(ISTEXT((CADOLIVE!P_2_23.c CADOLIVE!MT)),0,(CADOLIVE!P_2_23.c CADOLIVE!MT))</f>
        <v>0</v>
      </c>
    </row>
    <row r="124" spans="1:4" ht="15">
      <c r="A124" s="30" t="s">
        <v>1604</v>
      </c>
      <c r="B124" s="53">
        <f>IF(ISTEXT((CADOLIVE!P_2_23.d CADOLIVE!Qté)),0,(CADOLIVE!P_2_23.d CADOLIVE!Qté))</f>
        <v>0</v>
      </c>
      <c r="C124" s="31">
        <f>(CADOLIVE!P_2_23.d CADOLIVE!PU)</f>
        <v>0</v>
      </c>
      <c r="D124" s="31">
        <f>IF(ISTEXT((CADOLIVE!P_2_23.d CADOLIVE!MT)),0,(CADOLIVE!P_2_23.d CADOLIVE!MT))</f>
        <v>0</v>
      </c>
    </row>
    <row r="125" spans="1:4" ht="15">
      <c r="A125" s="30" t="s">
        <v>929</v>
      </c>
      <c r="B125" s="53">
        <f>IF(ISTEXT((CADOLIVE!P_2_24 CADOLIVE!Qté)),0,(CADOLIVE!P_2_24 CADOLIVE!Qté))</f>
        <v>0</v>
      </c>
      <c r="C125" s="31">
        <f>(CADOLIVE!P_2_24 CADOLIVE!PU)</f>
        <v>0</v>
      </c>
      <c r="D125" s="31">
        <f>IF(ISTEXT((CADOLIVE!P_2_24 CADOLIVE!MT)),0,(CADOLIVE!P_2_24 CADOLIVE!MT))</f>
        <v>0</v>
      </c>
    </row>
    <row r="126" spans="1:4" ht="15">
      <c r="A126" s="30" t="s">
        <v>1605</v>
      </c>
      <c r="B126" s="53">
        <f>IF(ISTEXT((CADOLIVE!P_2_25.a CADOLIVE!Qté)),0,(CADOLIVE!P_2_25.a CADOLIVE!Qté))</f>
        <v>0</v>
      </c>
      <c r="C126" s="31">
        <f>(CADOLIVE!P_2_25.a CADOLIVE!PU)</f>
        <v>0</v>
      </c>
      <c r="D126" s="31">
        <f>IF(ISTEXT((CADOLIVE!P_2_25.a CADOLIVE!MT)),0,(CADOLIVE!P_2_25.a CADOLIVE!MT))</f>
        <v>0</v>
      </c>
    </row>
    <row r="127" spans="1:4" ht="15">
      <c r="A127" s="30" t="s">
        <v>1606</v>
      </c>
      <c r="B127" s="53">
        <f>IF(ISTEXT((CADOLIVE!P_2_25.b CADOLIVE!Qté)),0,(CADOLIVE!P_2_25.b CADOLIVE!Qté))</f>
        <v>0</v>
      </c>
      <c r="C127" s="31">
        <f>(CADOLIVE!P_2_25.b CADOLIVE!PU)</f>
        <v>0</v>
      </c>
      <c r="D127" s="31">
        <f>IF(ISTEXT((CADOLIVE!P_2_25.b CADOLIVE!MT)),0,(CADOLIVE!P_2_25.b CADOLIVE!MT))</f>
        <v>0</v>
      </c>
    </row>
    <row r="128" spans="1:4" ht="15">
      <c r="A128" s="30" t="s">
        <v>1607</v>
      </c>
      <c r="B128" s="53">
        <f>IF(ISTEXT((CADOLIVE!P_2_25.c CADOLIVE!Qté)),0,(CADOLIVE!P_2_25.c CADOLIVE!Qté))</f>
        <v>0</v>
      </c>
      <c r="C128" s="31">
        <f>(CADOLIVE!P_2_25.c CADOLIVE!PU)</f>
        <v>0</v>
      </c>
      <c r="D128" s="31">
        <f>IF(ISTEXT((CADOLIVE!P_2_25.c CADOLIVE!MT)),0,(CADOLIVE!P_2_25.c CADOLIVE!MT))</f>
        <v>0</v>
      </c>
    </row>
    <row r="129" spans="1:4" ht="15">
      <c r="A129" s="30" t="s">
        <v>1608</v>
      </c>
      <c r="B129" s="53">
        <f>IF(ISTEXT((CADOLIVE!P_2_25.d CADOLIVE!Qté)),0,(CADOLIVE!P_2_25.d CADOLIVE!Qté))</f>
        <v>0</v>
      </c>
      <c r="C129" s="31">
        <f>(CADOLIVE!P_2_25.d CADOLIVE!PU)</f>
        <v>0</v>
      </c>
      <c r="D129" s="31">
        <f>IF(ISTEXT((CADOLIVE!P_2_25.d CADOLIVE!MT)),0,(CADOLIVE!P_2_25.d CADOLIVE!MT))</f>
        <v>0</v>
      </c>
    </row>
    <row r="130" spans="1:4" ht="15">
      <c r="A130" s="30" t="s">
        <v>1609</v>
      </c>
      <c r="B130" s="53">
        <f>IF(ISTEXT((CADOLIVE!P_2_25.e CADOLIVE!Qté)),0,(CADOLIVE!P_2_25.e CADOLIVE!Qté))</f>
        <v>0</v>
      </c>
      <c r="C130" s="31">
        <f>(CADOLIVE!P_2_25.e CADOLIVE!PU)</f>
        <v>0</v>
      </c>
      <c r="D130" s="31">
        <f>IF(ISTEXT((CADOLIVE!P_2_25.e CADOLIVE!MT)),0,(CADOLIVE!P_2_25.e CADOLIVE!MT))</f>
        <v>0</v>
      </c>
    </row>
    <row r="131" spans="1:4" ht="15">
      <c r="A131" s="30" t="s">
        <v>1610</v>
      </c>
      <c r="B131" s="53">
        <f>IF(ISTEXT((CADOLIVE!P_2_25.f CADOLIVE!Qté)),0,(CADOLIVE!P_2_25.f CADOLIVE!Qté))</f>
        <v>0</v>
      </c>
      <c r="C131" s="31">
        <f>(CADOLIVE!P_2_25.f CADOLIVE!PU)</f>
        <v>0</v>
      </c>
      <c r="D131" s="31">
        <f>IF(ISTEXT((CADOLIVE!P_2_25.f CADOLIVE!MT)),0,(CADOLIVE!P_2_25.f CADOLIVE!MT))</f>
        <v>0</v>
      </c>
    </row>
    <row r="132" spans="1:4" ht="15">
      <c r="A132" s="30" t="s">
        <v>1611</v>
      </c>
      <c r="B132" s="53">
        <f>IF(ISTEXT((CADOLIVE!P_2_25.g CADOLIVE!Qté)),0,(CADOLIVE!P_2_25.g CADOLIVE!Qté))</f>
        <v>0</v>
      </c>
      <c r="C132" s="31">
        <f>(CADOLIVE!P_2_25.g CADOLIVE!PU)</f>
        <v>0</v>
      </c>
      <c r="D132" s="31">
        <f>IF(ISTEXT((CADOLIVE!P_2_25.g CADOLIVE!MT)),0,(CADOLIVE!P_2_25.g CADOLIVE!MT))</f>
        <v>0</v>
      </c>
    </row>
    <row r="133" spans="1:4" ht="15">
      <c r="A133" s="30" t="s">
        <v>1612</v>
      </c>
      <c r="B133" s="53">
        <f>IF(ISTEXT((CADOLIVE!P_2_25.h CADOLIVE!Qté)),0,(CADOLIVE!P_2_25.h CADOLIVE!Qté))</f>
        <v>0</v>
      </c>
      <c r="C133" s="31">
        <f>(CADOLIVE!P_2_25.h CADOLIVE!PU)</f>
        <v>0</v>
      </c>
      <c r="D133" s="31">
        <f>IF(ISTEXT((CADOLIVE!P_2_25.h CADOLIVE!MT)),0,(CADOLIVE!P_2_25.h CADOLIVE!MT))</f>
        <v>0</v>
      </c>
    </row>
    <row r="134" spans="1:4" ht="15">
      <c r="A134" s="30" t="s">
        <v>1613</v>
      </c>
      <c r="B134" s="53">
        <f>IF(ISTEXT((CADOLIVE!P_2_25.i CADOLIVE!Qté)),0,(CADOLIVE!P_2_25.i CADOLIVE!Qté))</f>
        <v>0</v>
      </c>
      <c r="C134" s="31">
        <f>(CADOLIVE!P_2_25.i CADOLIVE!PU)</f>
        <v>0</v>
      </c>
      <c r="D134" s="31">
        <f>IF(ISTEXT((CADOLIVE!P_2_25.i CADOLIVE!MT)),0,(CADOLIVE!P_2_25.i CADOLIVE!MT))</f>
        <v>0</v>
      </c>
    </row>
    <row r="135" spans="1:4" ht="15">
      <c r="A135" s="30" t="s">
        <v>1614</v>
      </c>
      <c r="B135" s="53">
        <f>IF(ISTEXT((CADOLIVE!P_2_25.j CADOLIVE!Qté)),0,(CADOLIVE!P_2_25.j CADOLIVE!Qté))</f>
        <v>0</v>
      </c>
      <c r="C135" s="31">
        <f>(CADOLIVE!P_2_25.j CADOLIVE!PU)</f>
        <v>0</v>
      </c>
      <c r="D135" s="31">
        <f>IF(ISTEXT((CADOLIVE!P_2_25.j CADOLIVE!MT)),0,(CADOLIVE!P_2_25.j CADOLIVE!MT))</f>
        <v>0</v>
      </c>
    </row>
    <row r="136" spans="1:4" ht="15">
      <c r="A136" s="30" t="s">
        <v>1615</v>
      </c>
      <c r="B136" s="53">
        <f>IF(ISTEXT((CADOLIVE!P_2_25.k CADOLIVE!Qté)),0,(CADOLIVE!P_2_25.k CADOLIVE!Qté))</f>
        <v>0</v>
      </c>
      <c r="C136" s="31">
        <f>(CADOLIVE!P_2_25.k CADOLIVE!PU)</f>
        <v>0</v>
      </c>
      <c r="D136" s="31">
        <f>IF(ISTEXT((CADOLIVE!P_2_25.k CADOLIVE!MT)),0,(CADOLIVE!P_2_25.k CADOLIVE!MT))</f>
        <v>0</v>
      </c>
    </row>
    <row r="137" spans="1:4" ht="15">
      <c r="A137" s="30" t="s">
        <v>1616</v>
      </c>
      <c r="B137" s="53">
        <f>IF(ISTEXT((CADOLIVE!P_2_26.a CADOLIVE!Qté)),0,(CADOLIVE!P_2_26.a CADOLIVE!Qté))</f>
        <v>0</v>
      </c>
      <c r="C137" s="31">
        <f>(CADOLIVE!P_2_26.a CADOLIVE!PU)</f>
        <v>0</v>
      </c>
      <c r="D137" s="31">
        <f>IF(ISTEXT((CADOLIVE!P_2_26.a CADOLIVE!MT)),0,(CADOLIVE!P_2_26.a CADOLIVE!MT))</f>
        <v>0</v>
      </c>
    </row>
    <row r="138" spans="1:4" ht="15">
      <c r="A138" s="30" t="s">
        <v>1617</v>
      </c>
      <c r="B138" s="53">
        <f>IF(ISTEXT((CADOLIVE!P_2_26.b CADOLIVE!Qté)),0,(CADOLIVE!P_2_26.b CADOLIVE!Qté))</f>
        <v>0</v>
      </c>
      <c r="C138" s="31">
        <f>(CADOLIVE!P_2_26.b CADOLIVE!PU)</f>
        <v>0</v>
      </c>
      <c r="D138" s="31">
        <f>IF(ISTEXT((CADOLIVE!P_2_26.b CADOLIVE!MT)),0,(CADOLIVE!P_2_26.b CADOLIVE!MT))</f>
        <v>0</v>
      </c>
    </row>
    <row r="139" spans="1:4" ht="15">
      <c r="A139" s="30" t="s">
        <v>1618</v>
      </c>
      <c r="B139" s="53">
        <f>IF(ISTEXT((CADOLIVE!P_2_26.c CADOLIVE!Qté)),0,(CADOLIVE!P_2_26.c CADOLIVE!Qté))</f>
        <v>0</v>
      </c>
      <c r="C139" s="31">
        <f>(CADOLIVE!P_2_26.c CADOLIVE!PU)</f>
        <v>0</v>
      </c>
      <c r="D139" s="31">
        <f>IF(ISTEXT((CADOLIVE!P_2_26.c CADOLIVE!MT)),0,(CADOLIVE!P_2_26.c CADOLIVE!MT))</f>
        <v>0</v>
      </c>
    </row>
    <row r="140" spans="1:4" ht="15">
      <c r="A140" s="30" t="s">
        <v>1619</v>
      </c>
      <c r="B140" s="53">
        <f>IF(ISTEXT((CADOLIVE!P_2_26.d CADOLIVE!Qté)),0,(CADOLIVE!P_2_26.d CADOLIVE!Qté))</f>
        <v>0</v>
      </c>
      <c r="C140" s="31">
        <f>(CADOLIVE!P_2_26.d CADOLIVE!PU)</f>
        <v>0</v>
      </c>
      <c r="D140" s="31">
        <f>IF(ISTEXT((CADOLIVE!P_2_26.d CADOLIVE!MT)),0,(CADOLIVE!P_2_26.d CADOLIVE!MT))</f>
        <v>0</v>
      </c>
    </row>
    <row r="141" spans="1:4" ht="15">
      <c r="A141" s="30" t="s">
        <v>1620</v>
      </c>
      <c r="B141" s="53">
        <f>IF(ISTEXT((CADOLIVE!P_2_26.e CADOLIVE!Qté)),0,(CADOLIVE!P_2_26.e CADOLIVE!Qté))</f>
        <v>0</v>
      </c>
      <c r="C141" s="31">
        <f>(CADOLIVE!P_2_26.e CADOLIVE!PU)</f>
        <v>0</v>
      </c>
      <c r="D141" s="31">
        <f>IF(ISTEXT((CADOLIVE!P_2_26.e CADOLIVE!MT)),0,(CADOLIVE!P_2_26.e CADOLIVE!MT))</f>
        <v>0</v>
      </c>
    </row>
    <row r="142" spans="1:4" ht="15">
      <c r="A142" s="30" t="s">
        <v>1621</v>
      </c>
      <c r="B142" s="53">
        <f>IF(ISTEXT((CADOLIVE!P_2_26.f CADOLIVE!Qté)),0,(CADOLIVE!P_2_26.f CADOLIVE!Qté))</f>
        <v>0</v>
      </c>
      <c r="C142" s="31">
        <f>(CADOLIVE!P_2_26.f CADOLIVE!PU)</f>
        <v>0</v>
      </c>
      <c r="D142" s="31">
        <f>IF(ISTEXT((CADOLIVE!P_2_26.f CADOLIVE!MT)),0,(CADOLIVE!P_2_26.f CADOLIVE!MT))</f>
        <v>0</v>
      </c>
    </row>
    <row r="143" spans="1:4" ht="15">
      <c r="A143" s="30" t="s">
        <v>1622</v>
      </c>
      <c r="B143" s="53">
        <f>IF(ISTEXT((CADOLIVE!P_2_26.g CADOLIVE!Qté)),0,(CADOLIVE!P_2_26.g CADOLIVE!Qté))</f>
        <v>0</v>
      </c>
      <c r="C143" s="31">
        <f>(CADOLIVE!P_2_26.g CADOLIVE!PU)</f>
        <v>0</v>
      </c>
      <c r="D143" s="31">
        <f>IF(ISTEXT((CADOLIVE!P_2_26.g CADOLIVE!MT)),0,(CADOLIVE!P_2_26.g CADOLIVE!MT))</f>
        <v>0</v>
      </c>
    </row>
    <row r="144" spans="1:4" ht="15">
      <c r="A144" s="30" t="s">
        <v>1623</v>
      </c>
      <c r="B144" s="53">
        <f>IF(ISTEXT((CADOLIVE!P_2_26.h CADOLIVE!Qté)),0,(CADOLIVE!P_2_26.h CADOLIVE!Qté))</f>
        <v>0</v>
      </c>
      <c r="C144" s="31">
        <f>(CADOLIVE!P_2_26.h CADOLIVE!PU)</f>
        <v>0</v>
      </c>
      <c r="D144" s="31">
        <f>IF(ISTEXT((CADOLIVE!P_2_26.h CADOLIVE!MT)),0,(CADOLIVE!P_2_26.h CADOLIVE!MT))</f>
        <v>0</v>
      </c>
    </row>
    <row r="145" spans="1:4" ht="15">
      <c r="A145" s="30" t="s">
        <v>1624</v>
      </c>
      <c r="B145" s="53">
        <f>IF(ISTEXT((CADOLIVE!P_2_26.i CADOLIVE!Qté)),0,(CADOLIVE!P_2_26.i CADOLIVE!Qté))</f>
        <v>0</v>
      </c>
      <c r="C145" s="31">
        <f>(CADOLIVE!P_2_26.i CADOLIVE!PU)</f>
        <v>0</v>
      </c>
      <c r="D145" s="31">
        <f>IF(ISTEXT((CADOLIVE!P_2_26.i CADOLIVE!MT)),0,(CADOLIVE!P_2_26.i CADOLIVE!MT))</f>
        <v>0</v>
      </c>
    </row>
    <row r="146" spans="1:4" ht="15">
      <c r="A146" s="30" t="s">
        <v>1625</v>
      </c>
      <c r="B146" s="53">
        <f>IF(ISTEXT((CADOLIVE!P_2_26.j CADOLIVE!Qté)),0,(CADOLIVE!P_2_26.j CADOLIVE!Qté))</f>
        <v>0</v>
      </c>
      <c r="C146" s="31">
        <f>(CADOLIVE!P_2_26.j CADOLIVE!PU)</f>
        <v>0</v>
      </c>
      <c r="D146" s="31">
        <f>IF(ISTEXT((CADOLIVE!P_2_26.j CADOLIVE!MT)),0,(CADOLIVE!P_2_26.j CADOLIVE!MT))</f>
        <v>0</v>
      </c>
    </row>
    <row r="147" spans="1:4" ht="15">
      <c r="A147" s="30" t="s">
        <v>1626</v>
      </c>
      <c r="B147" s="53">
        <f>IF(ISTEXT((CADOLIVE!P_2_27.a CADOLIVE!Qté)),0,(CADOLIVE!P_2_27.a CADOLIVE!Qté))</f>
        <v>0</v>
      </c>
      <c r="C147" s="31">
        <f>(CADOLIVE!P_2_27.a CADOLIVE!PU)</f>
        <v>0</v>
      </c>
      <c r="D147" s="31">
        <f>IF(ISTEXT((CADOLIVE!P_2_27.a CADOLIVE!MT)),0,(CADOLIVE!P_2_27.a CADOLIVE!MT))</f>
        <v>0</v>
      </c>
    </row>
    <row r="148" spans="1:4" ht="15">
      <c r="A148" s="30" t="s">
        <v>1627</v>
      </c>
      <c r="B148" s="53">
        <f>IF(ISTEXT((CADOLIVE!P_2_27.b CADOLIVE!Qté)),0,(CADOLIVE!P_2_27.b CADOLIVE!Qté))</f>
        <v>0</v>
      </c>
      <c r="C148" s="31">
        <f>(CADOLIVE!P_2_27.b CADOLIVE!PU)</f>
        <v>0</v>
      </c>
      <c r="D148" s="31">
        <f>IF(ISTEXT((CADOLIVE!P_2_27.b CADOLIVE!MT)),0,(CADOLIVE!P_2_27.b CADOLIVE!MT))</f>
        <v>0</v>
      </c>
    </row>
    <row r="149" spans="1:4" ht="15">
      <c r="A149" s="30" t="s">
        <v>1628</v>
      </c>
      <c r="B149" s="53">
        <f>IF(ISTEXT((CADOLIVE!P_2_28.a CADOLIVE!Qté)),0,(CADOLIVE!P_2_28.a CADOLIVE!Qté))</f>
        <v>0</v>
      </c>
      <c r="C149" s="31">
        <f>(CADOLIVE!P_2_28.a CADOLIVE!PU)</f>
        <v>0</v>
      </c>
      <c r="D149" s="31">
        <f>IF(ISTEXT((CADOLIVE!P_2_28.a CADOLIVE!MT)),0,(CADOLIVE!P_2_28.a CADOLIVE!MT))</f>
        <v>0</v>
      </c>
    </row>
    <row r="150" spans="1:4" ht="15">
      <c r="A150" s="30" t="s">
        <v>1373</v>
      </c>
      <c r="B150" s="53">
        <f>IF(ISTEXT((CADOLIVE!P_2_28.b CADOLIVE!Qté)),0,(CADOLIVE!P_2_28.b CADOLIVE!Qté))</f>
        <v>0</v>
      </c>
      <c r="C150" s="31">
        <f>(CADOLIVE!P_2_28.b CADOLIVE!PU)</f>
        <v>0</v>
      </c>
      <c r="D150" s="31">
        <f>IF(ISTEXT((CADOLIVE!P_2_28.b CADOLIVE!MT)),0,(CADOLIVE!P_2_28.b CADOLIVE!MT))</f>
        <v>0</v>
      </c>
    </row>
    <row r="151" spans="1:4" ht="15">
      <c r="A151" s="30" t="s">
        <v>1374</v>
      </c>
      <c r="B151" s="53">
        <f>IF(ISTEXT((CADOLIVE!P_2_28.c CADOLIVE!Qté)),0,(CADOLIVE!P_2_28.c CADOLIVE!Qté))</f>
        <v>0</v>
      </c>
      <c r="C151" s="31">
        <f>(CADOLIVE!P_2_28.c CADOLIVE!PU)</f>
        <v>0</v>
      </c>
      <c r="D151" s="31">
        <f>IF(ISTEXT((CADOLIVE!P_2_28.c CADOLIVE!MT)),0,(CADOLIVE!P_2_28.c CADOLIVE!MT))</f>
        <v>0</v>
      </c>
    </row>
    <row r="152" spans="1:4" ht="15">
      <c r="A152" s="30" t="s">
        <v>1629</v>
      </c>
      <c r="B152" s="53">
        <f>IF(ISTEXT((CADOLIVE!P_2_29.a CADOLIVE!Qté)),0,(CADOLIVE!P_2_29.a CADOLIVE!Qté))</f>
        <v>0</v>
      </c>
      <c r="C152" s="31">
        <f>(CADOLIVE!P_2_29.a CADOLIVE!PU)</f>
        <v>0</v>
      </c>
      <c r="D152" s="31">
        <f>IF(ISTEXT((CADOLIVE!P_2_29.a CADOLIVE!MT)),0,(CADOLIVE!P_2_29.a CADOLIVE!MT))</f>
        <v>0</v>
      </c>
    </row>
    <row r="153" spans="1:4" ht="15">
      <c r="A153" s="30" t="s">
        <v>1630</v>
      </c>
      <c r="B153" s="53">
        <f>IF(ISTEXT((CADOLIVE!P_2_29.b CADOLIVE!Qté)),0,(CADOLIVE!P_2_29.b CADOLIVE!Qté))</f>
        <v>0</v>
      </c>
      <c r="C153" s="31">
        <f>(CADOLIVE!P_2_29.b CADOLIVE!PU)</f>
        <v>0</v>
      </c>
      <c r="D153" s="31">
        <f>IF(ISTEXT((CADOLIVE!P_2_29.b CADOLIVE!MT)),0,(CADOLIVE!P_2_29.b CADOLIVE!MT))</f>
        <v>0</v>
      </c>
    </row>
    <row r="154" spans="1:4" ht="15">
      <c r="A154" s="30" t="s">
        <v>1631</v>
      </c>
      <c r="B154" s="53">
        <f>IF(ISTEXT((CADOLIVE!P_2_30.a CADOLIVE!Qté)),0,(CADOLIVE!P_2_30.a CADOLIVE!Qté))</f>
        <v>0</v>
      </c>
      <c r="C154" s="31">
        <f>(CADOLIVE!P_2_30.a CADOLIVE!PU)</f>
        <v>0</v>
      </c>
      <c r="D154" s="31">
        <f>IF(ISTEXT((CADOLIVE!P_2_30.a CADOLIVE!MT)),0,(CADOLIVE!P_2_30.a CADOLIVE!MT))</f>
        <v>0</v>
      </c>
    </row>
    <row r="155" spans="1:4" ht="15">
      <c r="A155" s="30" t="s">
        <v>1632</v>
      </c>
      <c r="B155" s="53">
        <f>IF(ISTEXT((CADOLIVE!P_2_30.b CADOLIVE!Qté)),0,(CADOLIVE!P_2_30.b CADOLIVE!Qté))</f>
        <v>0</v>
      </c>
      <c r="C155" s="31">
        <f>(CADOLIVE!P_2_30.b CADOLIVE!PU)</f>
        <v>0</v>
      </c>
      <c r="D155" s="31">
        <f>IF(ISTEXT((CADOLIVE!P_2_30.b CADOLIVE!MT)),0,(CADOLIVE!P_2_30.b CADOLIVE!MT))</f>
        <v>0</v>
      </c>
    </row>
    <row r="156" spans="1:4" ht="15">
      <c r="A156" s="30" t="s">
        <v>1633</v>
      </c>
      <c r="B156" s="53">
        <f>IF(ISTEXT((CADOLIVE!P_2_30.c CADOLIVE!Qté)),0,(CADOLIVE!P_2_30.c CADOLIVE!Qté))</f>
        <v>0</v>
      </c>
      <c r="C156" s="31">
        <f>(CADOLIVE!P_2_30.c CADOLIVE!PU)</f>
        <v>0</v>
      </c>
      <c r="D156" s="31">
        <f>IF(ISTEXT((CADOLIVE!P_2_30.c CADOLIVE!MT)),0,(CADOLIVE!P_2_30.c CADOLIVE!MT))</f>
        <v>0</v>
      </c>
    </row>
    <row r="157" spans="1:4" ht="15">
      <c r="A157" s="30" t="s">
        <v>1634</v>
      </c>
      <c r="B157" s="53">
        <f>IF(ISTEXT((CADOLIVE!P_2_30.d CADOLIVE!Qté)),0,(CADOLIVE!P_2_30.d CADOLIVE!Qté))</f>
        <v>0</v>
      </c>
      <c r="C157" s="31">
        <f>(CADOLIVE!P_2_30.d CADOLIVE!PU)</f>
        <v>0</v>
      </c>
      <c r="D157" s="31">
        <f>IF(ISTEXT((CADOLIVE!P_2_30.d CADOLIVE!MT)),0,(CADOLIVE!P_2_30.d CADOLIVE!MT))</f>
        <v>0</v>
      </c>
    </row>
    <row r="158" spans="1:4" ht="15">
      <c r="A158" s="30" t="s">
        <v>1635</v>
      </c>
      <c r="B158" s="53">
        <f>IF(ISTEXT((CADOLIVE!P_2_31.a CADOLIVE!Qté)),0,(CADOLIVE!P_2_31.a CADOLIVE!Qté))</f>
        <v>0</v>
      </c>
      <c r="C158" s="31">
        <f>(CADOLIVE!P_2_31.a CADOLIVE!PU)</f>
        <v>0</v>
      </c>
      <c r="D158" s="31">
        <f>IF(ISTEXT((CADOLIVE!P_2_31.a CADOLIVE!MT)),0,(CADOLIVE!P_2_31.a CADOLIVE!MT))</f>
        <v>0</v>
      </c>
    </row>
    <row r="159" spans="1:4" ht="15">
      <c r="A159" s="30" t="s">
        <v>1636</v>
      </c>
      <c r="B159" s="53">
        <f>IF(ISTEXT((CADOLIVE!P_2_31.b CADOLIVE!Qté)),0,(CADOLIVE!P_2_31.b CADOLIVE!Qté))</f>
        <v>0</v>
      </c>
      <c r="C159" s="31">
        <f>(CADOLIVE!P_2_31.b CADOLIVE!PU)</f>
        <v>0</v>
      </c>
      <c r="D159" s="31">
        <f>IF(ISTEXT((CADOLIVE!P_2_31.b CADOLIVE!MT)),0,(CADOLIVE!P_2_31.b CADOLIVE!MT))</f>
        <v>0</v>
      </c>
    </row>
    <row r="160" spans="1:4" ht="15">
      <c r="A160" s="30" t="s">
        <v>1637</v>
      </c>
      <c r="B160" s="53">
        <f>IF(ISTEXT((CADOLIVE!P_2_31.c CADOLIVE!Qté)),0,(CADOLIVE!P_2_31.c CADOLIVE!Qté))</f>
        <v>0</v>
      </c>
      <c r="C160" s="31">
        <f>(CADOLIVE!P_2_31.c CADOLIVE!PU)</f>
        <v>0</v>
      </c>
      <c r="D160" s="31">
        <f>IF(ISTEXT((CADOLIVE!P_2_31.c CADOLIVE!MT)),0,(CADOLIVE!P_2_31.c CADOLIVE!MT))</f>
        <v>0</v>
      </c>
    </row>
    <row r="161" spans="1:4" ht="15">
      <c r="A161" s="30" t="s">
        <v>1638</v>
      </c>
      <c r="B161" s="53">
        <f>IF(ISTEXT((CADOLIVE!P_2_31.d CADOLIVE!Qté)),0,(CADOLIVE!P_2_31.d CADOLIVE!Qté))</f>
        <v>0</v>
      </c>
      <c r="C161" s="31">
        <f>(CADOLIVE!P_2_31.d CADOLIVE!PU)</f>
        <v>0</v>
      </c>
      <c r="D161" s="31">
        <f>IF(ISTEXT((CADOLIVE!P_2_31.d CADOLIVE!MT)),0,(CADOLIVE!P_2_31.d CADOLIVE!MT))</f>
        <v>0</v>
      </c>
    </row>
    <row r="162" spans="1:4" ht="15">
      <c r="A162" s="30" t="s">
        <v>1639</v>
      </c>
      <c r="B162" s="53">
        <f>IF(ISTEXT((CADOLIVE!P_2_32.a CADOLIVE!Qté)),0,(CADOLIVE!P_2_32.a CADOLIVE!Qté))</f>
        <v>0</v>
      </c>
      <c r="C162" s="31">
        <f>(CADOLIVE!P_2_32.a CADOLIVE!PU)</f>
        <v>0</v>
      </c>
      <c r="D162" s="31">
        <f>IF(ISTEXT((CADOLIVE!P_2_32.a CADOLIVE!MT)),0,(CADOLIVE!P_2_32.a CADOLIVE!MT))</f>
        <v>0</v>
      </c>
    </row>
    <row r="163" spans="1:4" ht="15">
      <c r="A163" s="30" t="s">
        <v>1640</v>
      </c>
      <c r="B163" s="53">
        <f>IF(ISTEXT((CADOLIVE!P_2_32.b CADOLIVE!Qté)),0,(CADOLIVE!P_2_32.b CADOLIVE!Qté))</f>
        <v>0</v>
      </c>
      <c r="C163" s="31">
        <f>(CADOLIVE!P_2_32.b CADOLIVE!PU)</f>
        <v>0</v>
      </c>
      <c r="D163" s="31">
        <f>IF(ISTEXT((CADOLIVE!P_2_32.b CADOLIVE!MT)),0,(CADOLIVE!P_2_32.b CADOLIVE!MT))</f>
        <v>0</v>
      </c>
    </row>
    <row r="164" spans="1:4" ht="15">
      <c r="A164" s="30" t="s">
        <v>1641</v>
      </c>
      <c r="B164" s="53">
        <f>IF(ISTEXT((CADOLIVE!P_2_32.c CADOLIVE!Qté)),0,(CADOLIVE!P_2_32.c CADOLIVE!Qté))</f>
        <v>0</v>
      </c>
      <c r="C164" s="31">
        <f>(CADOLIVE!P_2_32.c CADOLIVE!PU)</f>
        <v>0</v>
      </c>
      <c r="D164" s="31">
        <f>IF(ISTEXT((CADOLIVE!P_2_32.c CADOLIVE!MT)),0,(CADOLIVE!P_2_32.c CADOLIVE!MT))</f>
        <v>0</v>
      </c>
    </row>
    <row r="165" spans="1:4" ht="15">
      <c r="A165" s="30" t="s">
        <v>1642</v>
      </c>
      <c r="B165" s="53">
        <f>IF(ISTEXT((CADOLIVE!P_2_33.a CADOLIVE!Qté)),0,(CADOLIVE!P_2_33.a CADOLIVE!Qté))</f>
        <v>0</v>
      </c>
      <c r="C165" s="31">
        <f>(CADOLIVE!P_2_33.a CADOLIVE!PU)</f>
        <v>0</v>
      </c>
      <c r="D165" s="31">
        <f>IF(ISTEXT((CADOLIVE!P_2_33.a CADOLIVE!MT)),0,(CADOLIVE!P_2_33.a CADOLIVE!MT))</f>
        <v>0</v>
      </c>
    </row>
    <row r="166" spans="1:4" ht="15">
      <c r="A166" s="30" t="s">
        <v>939</v>
      </c>
      <c r="B166" s="53">
        <f>IF(ISTEXT((CADOLIVE!P_2_34 CADOLIVE!Qté)),0,(CADOLIVE!P_2_34 CADOLIVE!Qté))</f>
        <v>0</v>
      </c>
      <c r="C166" s="31">
        <f>(CADOLIVE!P_2_34 CADOLIVE!PU)</f>
        <v>0</v>
      </c>
      <c r="D166" s="31">
        <f>IF(ISTEXT((CADOLIVE!P_2_34 CADOLIVE!MT)),0,(CADOLIVE!P_2_34 CADOLIVE!MT))</f>
        <v>0</v>
      </c>
    </row>
    <row r="167" spans="1:4" ht="15">
      <c r="A167" s="30" t="s">
        <v>1643</v>
      </c>
      <c r="B167" s="53">
        <f>IF(ISTEXT((CADOLIVE!P_2_35.a CADOLIVE!Qté)),0,(CADOLIVE!P_2_35.a CADOLIVE!Qté))</f>
        <v>0</v>
      </c>
      <c r="C167" s="31">
        <f>(CADOLIVE!P_2_35.a CADOLIVE!PU)</f>
        <v>0</v>
      </c>
      <c r="D167" s="31">
        <f>IF(ISTEXT((CADOLIVE!P_2_35.a CADOLIVE!MT)),0,(CADOLIVE!P_2_35.a CADOLIVE!MT))</f>
        <v>0</v>
      </c>
    </row>
    <row r="168" spans="1:4" ht="15">
      <c r="A168" s="30" t="s">
        <v>1644</v>
      </c>
      <c r="B168" s="53">
        <f>IF(ISTEXT((CADOLIVE!P_2_35.b CADOLIVE!Qté)),0,(CADOLIVE!P_2_35.b CADOLIVE!Qté))</f>
        <v>0</v>
      </c>
      <c r="C168" s="31">
        <f>(CADOLIVE!P_2_35.b CADOLIVE!PU)</f>
        <v>0</v>
      </c>
      <c r="D168" s="31">
        <f>IF(ISTEXT((CADOLIVE!P_2_35.b CADOLIVE!MT)),0,(CADOLIVE!P_2_35.b CADOLIVE!MT))</f>
        <v>0</v>
      </c>
    </row>
    <row r="169" spans="1:4" ht="15">
      <c r="A169" s="30" t="s">
        <v>1645</v>
      </c>
      <c r="B169" s="53">
        <f>IF(ISTEXT((CADOLIVE!P_2_36.a CADOLIVE!Qté)),0,(CADOLIVE!P_2_36.a CADOLIVE!Qté))</f>
        <v>0</v>
      </c>
      <c r="C169" s="31">
        <f>(CADOLIVE!P_2_36.a CADOLIVE!PU)</f>
        <v>0</v>
      </c>
      <c r="D169" s="31">
        <f>IF(ISTEXT((CADOLIVE!P_2_36.a CADOLIVE!MT)),0,(CADOLIVE!P_2_36.a CADOLIVE!MT))</f>
        <v>0</v>
      </c>
    </row>
    <row r="170" spans="1:4" ht="15">
      <c r="A170" s="30" t="s">
        <v>1375</v>
      </c>
      <c r="B170" s="53">
        <f>IF(ISTEXT((CADOLIVE!P_2_36.b CADOLIVE!Qté)),0,(CADOLIVE!P_2_36.b CADOLIVE!Qté))</f>
        <v>0</v>
      </c>
      <c r="C170" s="31">
        <f>(CADOLIVE!P_2_36.b CADOLIVE!PU)</f>
        <v>0</v>
      </c>
      <c r="D170" s="31">
        <f>IF(ISTEXT((CADOLIVE!P_2_36.b CADOLIVE!MT)),0,(CADOLIVE!P_2_36.b CADOLIVE!MT))</f>
        <v>0</v>
      </c>
    </row>
    <row r="171" spans="1:4" ht="15">
      <c r="A171" s="30" t="s">
        <v>1646</v>
      </c>
      <c r="B171" s="53">
        <f>IF(ISTEXT((CADOLIVE!P_2_37.a CADOLIVE!Qté)),0,(CADOLIVE!P_2_37.a CADOLIVE!Qté))</f>
        <v>0</v>
      </c>
      <c r="C171" s="31">
        <f>(CADOLIVE!P_2_37.a CADOLIVE!PU)</f>
        <v>0</v>
      </c>
      <c r="D171" s="31">
        <f>IF(ISTEXT((CADOLIVE!P_2_37.a CADOLIVE!MT)),0,(CADOLIVE!P_2_37.a CADOLIVE!MT))</f>
        <v>0</v>
      </c>
    </row>
    <row r="172" spans="1:4" ht="15">
      <c r="A172" s="30" t="s">
        <v>1647</v>
      </c>
      <c r="B172" s="53">
        <f>IF(ISTEXT((CADOLIVE!P_2_37.b CADOLIVE!Qté)),0,(CADOLIVE!P_2_37.b CADOLIVE!Qté))</f>
        <v>0</v>
      </c>
      <c r="C172" s="31">
        <f>(CADOLIVE!P_2_37.b CADOLIVE!PU)</f>
        <v>0</v>
      </c>
      <c r="D172" s="31">
        <f>IF(ISTEXT((CADOLIVE!P_2_37.b CADOLIVE!MT)),0,(CADOLIVE!P_2_37.b CADOLIVE!MT))</f>
        <v>0</v>
      </c>
    </row>
    <row r="173" spans="1:4" ht="15">
      <c r="A173" s="30" t="s">
        <v>943</v>
      </c>
      <c r="B173" s="53">
        <f>IF(ISTEXT((CADOLIVE!P_2_38 CADOLIVE!Qté)),0,(CADOLIVE!P_2_38 CADOLIVE!Qté))</f>
        <v>0</v>
      </c>
      <c r="C173" s="31">
        <f>(CADOLIVE!P_2_38 CADOLIVE!PU)</f>
        <v>0</v>
      </c>
      <c r="D173" s="31">
        <f>IF(ISTEXT((CADOLIVE!P_2_38 CADOLIVE!MT)),0,(CADOLIVE!P_2_38 CADOLIVE!MT))</f>
        <v>0</v>
      </c>
    </row>
    <row r="174" spans="1:4" ht="15">
      <c r="A174" s="30" t="s">
        <v>1648</v>
      </c>
      <c r="B174" s="53">
        <f>IF(ISTEXT((CADOLIVE!P_2_38.1 CADOLIVE!Qté)),0,(CADOLIVE!P_2_38.1 CADOLIVE!Qté))</f>
        <v>0</v>
      </c>
      <c r="C174" s="31">
        <f>(CADOLIVE!P_2_38.1 CADOLIVE!PU)</f>
        <v>0</v>
      </c>
      <c r="D174" s="31">
        <f>IF(ISTEXT((CADOLIVE!P_2_38.1 CADOLIVE!MT)),0,(CADOLIVE!P_2_38.1 CADOLIVE!MT))</f>
        <v>0</v>
      </c>
    </row>
    <row r="175" spans="1:4" ht="15">
      <c r="A175" s="30" t="s">
        <v>1649</v>
      </c>
      <c r="B175" s="53">
        <f>IF(ISTEXT((CADOLIVE!P_2_39.a CADOLIVE!Qté)),0,(CADOLIVE!P_2_39.a CADOLIVE!Qté))</f>
        <v>0</v>
      </c>
      <c r="C175" s="31">
        <f>(CADOLIVE!P_2_39.a CADOLIVE!PU)</f>
        <v>0</v>
      </c>
      <c r="D175" s="31">
        <f>IF(ISTEXT((CADOLIVE!P_2_39.a CADOLIVE!MT)),0,(CADOLIVE!P_2_39.a CADOLIVE!MT))</f>
        <v>0</v>
      </c>
    </row>
    <row r="176" spans="1:4" ht="15">
      <c r="A176" s="30" t="s">
        <v>1238</v>
      </c>
      <c r="B176" s="53">
        <f>IF(ISTEXT((CADOLIVE!P_2_39.b CADOLIVE!Qté)),0,(CADOLIVE!P_2_39.b CADOLIVE!Qté))</f>
        <v>0</v>
      </c>
      <c r="C176" s="31">
        <f>(CADOLIVE!P_2_39.b CADOLIVE!PU)</f>
        <v>0</v>
      </c>
      <c r="D176" s="31">
        <f>IF(ISTEXT((CADOLIVE!P_2_39.b CADOLIVE!MT)),0,(CADOLIVE!P_2_39.b CADOLIVE!MT))</f>
        <v>0</v>
      </c>
    </row>
    <row r="177" spans="1:4" ht="15">
      <c r="A177" s="30" t="s">
        <v>1237</v>
      </c>
      <c r="B177" s="53">
        <f>IF(ISTEXT((CADOLIVE!P_2_39.c CADOLIVE!Qté)),0,(CADOLIVE!P_2_39.c CADOLIVE!Qté))</f>
        <v>0</v>
      </c>
      <c r="C177" s="31">
        <f>(CADOLIVE!P_2_39.c CADOLIVE!PU)</f>
        <v>0</v>
      </c>
      <c r="D177" s="31">
        <f>IF(ISTEXT((CADOLIVE!P_2_39.c CADOLIVE!MT)),0,(CADOLIVE!P_2_39.c CADOLIVE!MT))</f>
        <v>0</v>
      </c>
    </row>
    <row r="178" spans="1:4" ht="15">
      <c r="A178" s="30" t="s">
        <v>1236</v>
      </c>
      <c r="B178" s="53">
        <f>IF(ISTEXT((CADOLIVE!P_2_40.a CADOLIVE!Qté)),0,(CADOLIVE!P_2_40.a CADOLIVE!Qté))</f>
        <v>0</v>
      </c>
      <c r="C178" s="31">
        <f>(CADOLIVE!P_2_40.a CADOLIVE!PU)</f>
        <v>0</v>
      </c>
      <c r="D178" s="31">
        <f>IF(ISTEXT((CADOLIVE!P_2_40.a CADOLIVE!MT)),0,(CADOLIVE!P_2_40.a CADOLIVE!MT))</f>
        <v>0</v>
      </c>
    </row>
    <row r="179" spans="1:4" ht="15">
      <c r="A179" s="30" t="s">
        <v>1235</v>
      </c>
      <c r="B179" s="53">
        <f>IF(ISTEXT((CADOLIVE!P_2_40.b CADOLIVE!Qté)),0,(CADOLIVE!P_2_40.b CADOLIVE!Qté))</f>
        <v>0</v>
      </c>
      <c r="C179" s="31">
        <f>(CADOLIVE!P_2_40.b CADOLIVE!PU)</f>
        <v>0</v>
      </c>
      <c r="D179" s="31">
        <f>IF(ISTEXT((CADOLIVE!P_2_40.b CADOLIVE!MT)),0,(CADOLIVE!P_2_40.b CADOLIVE!MT))</f>
        <v>0</v>
      </c>
    </row>
    <row r="180" spans="1:4" ht="15">
      <c r="A180" s="30" t="s">
        <v>1234</v>
      </c>
      <c r="B180" s="53">
        <f>IF(ISTEXT((CADOLIVE!P_2_40.c CADOLIVE!Qté)),0,(CADOLIVE!P_2_40.c CADOLIVE!Qté))</f>
        <v>0</v>
      </c>
      <c r="C180" s="31">
        <f>(CADOLIVE!P_2_40.c CADOLIVE!PU)</f>
        <v>0</v>
      </c>
      <c r="D180" s="31">
        <f>IF(ISTEXT((CADOLIVE!P_2_40.c CADOLIVE!MT)),0,(CADOLIVE!P_2_40.c CADOLIVE!MT))</f>
        <v>0</v>
      </c>
    </row>
    <row r="181" spans="1:4" ht="15">
      <c r="A181" s="30" t="s">
        <v>946</v>
      </c>
      <c r="B181" s="53">
        <f>IF(ISTEXT((CADOLIVE!P_2_41 CADOLIVE!Qté)),0,(CADOLIVE!P_2_41 CADOLIVE!Qté))</f>
        <v>0</v>
      </c>
      <c r="C181" s="31">
        <f>(CADOLIVE!P_2_41 CADOLIVE!PU)</f>
        <v>0</v>
      </c>
      <c r="D181" s="31">
        <f>IF(ISTEXT((CADOLIVE!P_2_41 CADOLIVE!MT)),0,(CADOLIVE!P_2_41 CADOLIVE!MT))</f>
        <v>0</v>
      </c>
    </row>
    <row r="182" spans="1:4" ht="15">
      <c r="A182" s="30" t="s">
        <v>1233</v>
      </c>
      <c r="B182" s="53">
        <f>IF(ISTEXT((CADOLIVE!P_2_42.a CADOLIVE!Qté)),0,(CADOLIVE!P_2_42.a CADOLIVE!Qté))</f>
        <v>0</v>
      </c>
      <c r="C182" s="31">
        <f>(CADOLIVE!P_2_42.a CADOLIVE!PU)</f>
        <v>0</v>
      </c>
      <c r="D182" s="31">
        <f>IF(ISTEXT((CADOLIVE!P_2_42.a CADOLIVE!MT)),0,(CADOLIVE!P_2_42.a CADOLIVE!MT))</f>
        <v>0</v>
      </c>
    </row>
    <row r="183" spans="1:4" ht="15">
      <c r="A183" s="30" t="s">
        <v>1232</v>
      </c>
      <c r="B183" s="53">
        <f>IF(ISTEXT((CADOLIVE!P_2_42.b CADOLIVE!Qté)),0,(CADOLIVE!P_2_42.b CADOLIVE!Qté))</f>
        <v>0</v>
      </c>
      <c r="C183" s="31">
        <f>(CADOLIVE!P_2_42.b CADOLIVE!PU)</f>
        <v>0</v>
      </c>
      <c r="D183" s="31">
        <f>IF(ISTEXT((CADOLIVE!P_2_42.b CADOLIVE!MT)),0,(CADOLIVE!P_2_42.b CADOLIVE!MT))</f>
        <v>0</v>
      </c>
    </row>
    <row r="184" spans="1:4" ht="15">
      <c r="A184" s="30" t="s">
        <v>1650</v>
      </c>
      <c r="B184" s="53">
        <f>IF(ISTEXT((CADOLIVE!P_2_43.a CADOLIVE!Qté)),0,(CADOLIVE!P_2_43.a CADOLIVE!Qté))</f>
        <v>0</v>
      </c>
      <c r="C184" s="31">
        <f>(CADOLIVE!P_2_43.a CADOLIVE!PU)</f>
        <v>0</v>
      </c>
      <c r="D184" s="31">
        <f>IF(ISTEXT((CADOLIVE!P_2_43.a CADOLIVE!MT)),0,(CADOLIVE!P_2_43.a CADOLIVE!MT))</f>
        <v>0</v>
      </c>
    </row>
    <row r="185" spans="1:4" ht="15">
      <c r="A185" s="30" t="s">
        <v>1231</v>
      </c>
      <c r="B185" s="53">
        <f>IF(ISTEXT((CADOLIVE!P_2_43.b CADOLIVE!Qté)),0,(CADOLIVE!P_2_43.b CADOLIVE!Qté))</f>
        <v>0</v>
      </c>
      <c r="C185" s="31">
        <f>(CADOLIVE!P_2_43.b CADOLIVE!PU)</f>
        <v>0</v>
      </c>
      <c r="D185" s="31">
        <f>IF(ISTEXT((CADOLIVE!P_2_43.b CADOLIVE!MT)),0,(CADOLIVE!P_2_43.b CADOLIVE!MT))</f>
        <v>0</v>
      </c>
    </row>
    <row r="186" spans="1:4" ht="15">
      <c r="A186" s="30" t="s">
        <v>1230</v>
      </c>
      <c r="B186" s="53">
        <f>IF(ISTEXT((CADOLIVE!P_2_43.c CADOLIVE!Qté)),0,(CADOLIVE!P_2_43.c CADOLIVE!Qté))</f>
        <v>0</v>
      </c>
      <c r="C186" s="31">
        <f>(CADOLIVE!P_2_43.c CADOLIVE!PU)</f>
        <v>0</v>
      </c>
      <c r="D186" s="31">
        <f>IF(ISTEXT((CADOLIVE!P_2_43.c CADOLIVE!MT)),0,(CADOLIVE!P_2_43.c CADOLIVE!MT))</f>
        <v>0</v>
      </c>
    </row>
    <row r="187" spans="1:4" ht="15">
      <c r="A187" s="30" t="s">
        <v>1651</v>
      </c>
      <c r="B187" s="53">
        <f>IF(ISTEXT((CADOLIVE!P_2_43.d CADOLIVE!Qté)),0,(CADOLIVE!P_2_43.d CADOLIVE!Qté))</f>
        <v>0</v>
      </c>
      <c r="C187" s="31">
        <f>(CADOLIVE!P_2_43.d CADOLIVE!PU)</f>
        <v>0</v>
      </c>
      <c r="D187" s="31">
        <f>IF(ISTEXT((CADOLIVE!P_2_43.d CADOLIVE!MT)),0,(CADOLIVE!P_2_43.d CADOLIVE!MT))</f>
        <v>0</v>
      </c>
    </row>
    <row r="188" spans="1:4" ht="15">
      <c r="A188" s="30" t="s">
        <v>1652</v>
      </c>
      <c r="B188" s="53">
        <f>IF(ISTEXT((CADOLIVE!P_2_43.e CADOLIVE!Qté)),0,(CADOLIVE!P_2_43.e CADOLIVE!Qté))</f>
        <v>0</v>
      </c>
      <c r="C188" s="31">
        <f>(CADOLIVE!P_2_43.e CADOLIVE!PU)</f>
        <v>0</v>
      </c>
      <c r="D188" s="31">
        <f>IF(ISTEXT((CADOLIVE!P_2_43.e CADOLIVE!MT)),0,(CADOLIVE!P_2_43.e CADOLIVE!MT))</f>
        <v>0</v>
      </c>
    </row>
    <row r="189" spans="1:4" ht="15">
      <c r="A189" s="30" t="s">
        <v>1653</v>
      </c>
      <c r="B189" s="53">
        <f>IF(ISTEXT((CADOLIVE!P_2_43.e.1 CADOLIVE!Qté)),0,(CADOLIVE!P_2_43.e.1 CADOLIVE!Qté))</f>
        <v>0</v>
      </c>
      <c r="C189" s="31">
        <f>(CADOLIVE!P_2_43.e.1 CADOLIVE!PU)</f>
        <v>0</v>
      </c>
      <c r="D189" s="31">
        <f>IF(ISTEXT((CADOLIVE!P_2_43.e.1 CADOLIVE!MT)),0,(CADOLIVE!P_2_43.e.1 CADOLIVE!MT))</f>
        <v>0</v>
      </c>
    </row>
    <row r="190" spans="1:4" ht="15">
      <c r="A190" s="30" t="s">
        <v>1654</v>
      </c>
      <c r="B190" s="53">
        <f>IF(ISTEXT((CADOLIVE!P_2_44.a CADOLIVE!Qté)),0,(CADOLIVE!P_2_44.a CADOLIVE!Qté))</f>
        <v>0</v>
      </c>
      <c r="C190" s="31">
        <f>(CADOLIVE!P_2_44.a CADOLIVE!PU)</f>
        <v>0</v>
      </c>
      <c r="D190" s="31">
        <f>IF(ISTEXT((CADOLIVE!P_2_44.a CADOLIVE!MT)),0,(CADOLIVE!P_2_44.a CADOLIVE!MT))</f>
        <v>0</v>
      </c>
    </row>
    <row r="191" spans="1:4" ht="15">
      <c r="A191" s="30" t="s">
        <v>1655</v>
      </c>
      <c r="B191" s="53">
        <f>IF(ISTEXT((CADOLIVE!P_2_44.b CADOLIVE!Qté)),0,(CADOLIVE!P_2_44.b CADOLIVE!Qté))</f>
        <v>0</v>
      </c>
      <c r="C191" s="31">
        <f>(CADOLIVE!P_2_44.b CADOLIVE!PU)</f>
        <v>0</v>
      </c>
      <c r="D191" s="31">
        <f>IF(ISTEXT((CADOLIVE!P_2_44.b CADOLIVE!MT)),0,(CADOLIVE!P_2_44.b CADOLIVE!MT))</f>
        <v>0</v>
      </c>
    </row>
    <row r="192" spans="1:4" ht="15">
      <c r="A192" s="30" t="s">
        <v>1656</v>
      </c>
      <c r="B192" s="53">
        <f>IF(ISTEXT((CADOLIVE!P_2_44.c CADOLIVE!Qté)),0,(CADOLIVE!P_2_44.c CADOLIVE!Qté))</f>
        <v>0</v>
      </c>
      <c r="C192" s="31">
        <f>(CADOLIVE!P_2_44.c CADOLIVE!PU)</f>
        <v>0</v>
      </c>
      <c r="D192" s="31">
        <f>IF(ISTEXT((CADOLIVE!P_2_44.c CADOLIVE!MT)),0,(CADOLIVE!P_2_44.c CADOLIVE!MT))</f>
        <v>0</v>
      </c>
    </row>
    <row r="193" spans="1:4" ht="15">
      <c r="A193" s="30" t="s">
        <v>1657</v>
      </c>
      <c r="B193" s="53">
        <f>IF(ISTEXT((CADOLIVE!P_2_45.a CADOLIVE!Qté)),0,(CADOLIVE!P_2_45.a CADOLIVE!Qté))</f>
        <v>0</v>
      </c>
      <c r="C193" s="31">
        <f>(CADOLIVE!P_2_45.a CADOLIVE!PU)</f>
        <v>0</v>
      </c>
      <c r="D193" s="31">
        <f>IF(ISTEXT((CADOLIVE!P_2_45.a CADOLIVE!MT)),0,(CADOLIVE!P_2_45.a CADOLIVE!MT))</f>
        <v>0</v>
      </c>
    </row>
    <row r="194" spans="1:4" ht="15">
      <c r="A194" s="30" t="s">
        <v>1658</v>
      </c>
      <c r="B194" s="53">
        <f>IF(ISTEXT((CADOLIVE!P_2_45.b CADOLIVE!Qté)),0,(CADOLIVE!P_2_45.b CADOLIVE!Qté))</f>
        <v>0</v>
      </c>
      <c r="C194" s="31">
        <f>(CADOLIVE!P_2_45.b CADOLIVE!PU)</f>
        <v>0</v>
      </c>
      <c r="D194" s="31">
        <f>IF(ISTEXT((CADOLIVE!P_2_45.b CADOLIVE!MT)),0,(CADOLIVE!P_2_45.b CADOLIVE!MT))</f>
        <v>0</v>
      </c>
    </row>
    <row r="195" spans="1:4" ht="15">
      <c r="A195" s="30" t="s">
        <v>1659</v>
      </c>
      <c r="B195" s="53">
        <f>IF(ISTEXT((CADOLIVE!P_2_46.a CADOLIVE!Qté)),0,(CADOLIVE!P_2_46.a CADOLIVE!Qté))</f>
        <v>0</v>
      </c>
      <c r="C195" s="31">
        <f>(CADOLIVE!P_2_46.a CADOLIVE!PU)</f>
        <v>0</v>
      </c>
      <c r="D195" s="31">
        <f>IF(ISTEXT((CADOLIVE!P_2_46.a CADOLIVE!MT)),0,(CADOLIVE!P_2_46.a CADOLIVE!MT))</f>
        <v>0</v>
      </c>
    </row>
    <row r="196" spans="1:4" ht="15">
      <c r="A196" s="30" t="s">
        <v>1660</v>
      </c>
      <c r="B196" s="53">
        <f>IF(ISTEXT((CADOLIVE!P_2_46.b CADOLIVE!Qté)),0,(CADOLIVE!P_2_46.b CADOLIVE!Qté))</f>
        <v>0</v>
      </c>
      <c r="C196" s="31">
        <f>(CADOLIVE!P_2_46.b CADOLIVE!PU)</f>
        <v>0</v>
      </c>
      <c r="D196" s="31">
        <f>IF(ISTEXT((CADOLIVE!P_2_46.b CADOLIVE!MT)),0,(CADOLIVE!P_2_46.b CADOLIVE!MT))</f>
        <v>0</v>
      </c>
    </row>
    <row r="197" spans="1:4" ht="15">
      <c r="A197" s="30" t="s">
        <v>1661</v>
      </c>
      <c r="B197" s="53">
        <f>IF(ISTEXT((CADOLIVE!P_2_47.a CADOLIVE!Qté)),0,(CADOLIVE!P_2_47.a CADOLIVE!Qté))</f>
        <v>0</v>
      </c>
      <c r="C197" s="31">
        <f>(CADOLIVE!P_2_47.a CADOLIVE!PU)</f>
        <v>0</v>
      </c>
      <c r="D197" s="31">
        <f>IF(ISTEXT((CADOLIVE!P_2_47.a CADOLIVE!MT)),0,(CADOLIVE!P_2_47.a CADOLIVE!MT))</f>
        <v>0</v>
      </c>
    </row>
    <row r="198" spans="1:4" ht="15">
      <c r="A198" s="30" t="s">
        <v>1662</v>
      </c>
      <c r="B198" s="53">
        <f>IF(ISTEXT((CADOLIVE!P_2_47.b CADOLIVE!Qté)),0,(CADOLIVE!P_2_47.b CADOLIVE!Qté))</f>
        <v>0</v>
      </c>
      <c r="C198" s="31">
        <f>(CADOLIVE!P_2_47.b CADOLIVE!PU)</f>
        <v>0</v>
      </c>
      <c r="D198" s="31">
        <f>IF(ISTEXT((CADOLIVE!P_2_47.b CADOLIVE!MT)),0,(CADOLIVE!P_2_47.b CADOLIVE!MT))</f>
        <v>0</v>
      </c>
    </row>
    <row r="199" spans="1:4" ht="15">
      <c r="A199" s="30" t="s">
        <v>1663</v>
      </c>
      <c r="B199" s="53">
        <f>IF(ISTEXT((CADOLIVE!P_2_48.a CADOLIVE!Qté)),0,(CADOLIVE!P_2_48.a CADOLIVE!Qté))</f>
        <v>0</v>
      </c>
      <c r="C199" s="31">
        <f>(CADOLIVE!P_2_48.a CADOLIVE!PU)</f>
        <v>0</v>
      </c>
      <c r="D199" s="31">
        <f>IF(ISTEXT((CADOLIVE!P_2_48.a CADOLIVE!MT)),0,(CADOLIVE!P_2_48.a CADOLIVE!MT))</f>
        <v>0</v>
      </c>
    </row>
    <row r="200" spans="1:4" ht="15">
      <c r="A200" s="30" t="s">
        <v>1239</v>
      </c>
      <c r="B200" s="53">
        <f>IF(ISTEXT((CADOLIVE!P_2_48.b CADOLIVE!Qté)),0,(CADOLIVE!P_2_48.b CADOLIVE!Qté))</f>
        <v>0</v>
      </c>
      <c r="C200" s="31">
        <f>(CADOLIVE!P_2_48.b CADOLIVE!PU)</f>
        <v>0</v>
      </c>
      <c r="D200" s="31">
        <f>IF(ISTEXT((CADOLIVE!P_2_48.b CADOLIVE!MT)),0,(CADOLIVE!P_2_48.b CADOLIVE!MT))</f>
        <v>0</v>
      </c>
    </row>
    <row r="201" spans="1:4" ht="15">
      <c r="A201" s="30" t="s">
        <v>1664</v>
      </c>
      <c r="B201" s="53">
        <f>IF(ISTEXT((CADOLIVE!P_2_49.a CADOLIVE!Qté)),0,(CADOLIVE!P_2_49.a CADOLIVE!Qté))</f>
        <v>0</v>
      </c>
      <c r="C201" s="31">
        <f>(CADOLIVE!P_2_49.a CADOLIVE!PU)</f>
        <v>0</v>
      </c>
      <c r="D201" s="31">
        <f>IF(ISTEXT((CADOLIVE!P_2_49.a CADOLIVE!MT)),0,(CADOLIVE!P_2_49.a CADOLIVE!MT))</f>
        <v>0</v>
      </c>
    </row>
    <row r="202" spans="1:4" ht="15">
      <c r="A202" s="30" t="s">
        <v>1665</v>
      </c>
      <c r="B202" s="53">
        <f>IF(ISTEXT((CADOLIVE!P_2_49.b CADOLIVE!Qté)),0,(CADOLIVE!P_2_49.b CADOLIVE!Qté))</f>
        <v>0</v>
      </c>
      <c r="C202" s="31">
        <f>(CADOLIVE!P_2_49.b CADOLIVE!PU)</f>
        <v>0</v>
      </c>
      <c r="D202" s="31">
        <f>IF(ISTEXT((CADOLIVE!P_2_49.b CADOLIVE!MT)),0,(CADOLIVE!P_2_49.b CADOLIVE!MT))</f>
        <v>0</v>
      </c>
    </row>
    <row r="203" spans="1:4" ht="15">
      <c r="A203" s="30" t="s">
        <v>1666</v>
      </c>
      <c r="B203" s="53">
        <f>IF(ISTEXT((CADOLIVE!P_2_50.a CADOLIVE!Qté)),0,(CADOLIVE!P_2_50.a CADOLIVE!Qté))</f>
        <v>0</v>
      </c>
      <c r="C203" s="31">
        <f>(CADOLIVE!P_2_50.a CADOLIVE!PU)</f>
        <v>0</v>
      </c>
      <c r="D203" s="31">
        <f>IF(ISTEXT((CADOLIVE!P_2_50.a CADOLIVE!MT)),0,(CADOLIVE!P_2_50.a CADOLIVE!MT))</f>
        <v>0</v>
      </c>
    </row>
    <row r="204" spans="1:4" ht="15">
      <c r="A204" s="30" t="s">
        <v>1667</v>
      </c>
      <c r="B204" s="53">
        <f>IF(ISTEXT((CADOLIVE!P_2_50.b CADOLIVE!Qté)),0,(CADOLIVE!P_2_50.b CADOLIVE!Qté))</f>
        <v>0</v>
      </c>
      <c r="C204" s="31">
        <f>(CADOLIVE!P_2_50.b CADOLIVE!PU)</f>
        <v>0</v>
      </c>
      <c r="D204" s="31">
        <f>IF(ISTEXT((CADOLIVE!P_2_50.b CADOLIVE!MT)),0,(CADOLIVE!P_2_50.b CADOLIVE!MT))</f>
        <v>0</v>
      </c>
    </row>
    <row r="205" spans="1:4" ht="15">
      <c r="A205" s="30" t="s">
        <v>1668</v>
      </c>
      <c r="B205" s="53">
        <f>IF(ISTEXT((CADOLIVE!P_2_51.a CADOLIVE!Qté)),0,(CADOLIVE!P_2_51.a CADOLIVE!Qté))</f>
        <v>0</v>
      </c>
      <c r="C205" s="31">
        <f>(CADOLIVE!P_2_51.a CADOLIVE!PU)</f>
        <v>0</v>
      </c>
      <c r="D205" s="31">
        <f>IF(ISTEXT((CADOLIVE!P_2_51.a CADOLIVE!MT)),0,(CADOLIVE!P_2_51.a CADOLIVE!MT))</f>
        <v>0</v>
      </c>
    </row>
    <row r="206" spans="1:4" ht="15">
      <c r="A206" s="30" t="s">
        <v>1671</v>
      </c>
      <c r="B206" s="53">
        <f>IF(ISTEXT((CADOLIVE!P_2_51.b CADOLIVE!Qté)),0,(CADOLIVE!P_2_51.b CADOLIVE!Qté))</f>
        <v>0</v>
      </c>
      <c r="C206" s="31">
        <f>(CADOLIVE!P_2_51.b CADOLIVE!PU)</f>
        <v>0</v>
      </c>
      <c r="D206" s="31">
        <f>IF(ISTEXT((CADOLIVE!P_2_51.b CADOLIVE!MT)),0,(CADOLIVE!P_2_51.b CADOLIVE!MT))</f>
        <v>0</v>
      </c>
    </row>
    <row r="207" spans="1:4" ht="15">
      <c r="A207" s="30" t="s">
        <v>1669</v>
      </c>
      <c r="B207" s="53">
        <f>IF(ISTEXT((CADOLIVE!P_2_52.a CADOLIVE!Qté)),0,(CADOLIVE!P_2_52.a CADOLIVE!Qté))</f>
        <v>0</v>
      </c>
      <c r="C207" s="31">
        <f>(CADOLIVE!P_2_52.a CADOLIVE!PU)</f>
        <v>0</v>
      </c>
      <c r="D207" s="31">
        <f>IF(ISTEXT((CADOLIVE!P_2_52.a CADOLIVE!MT)),0,(CADOLIVE!P_2_52.a CADOLIVE!MT))</f>
        <v>0</v>
      </c>
    </row>
    <row r="208" spans="1:4" ht="15">
      <c r="A208" s="30" t="s">
        <v>1670</v>
      </c>
      <c r="B208" s="53">
        <f>IF(ISTEXT((CADOLIVE!P_2_52.b CADOLIVE!Qté)),0,(CADOLIVE!P_2_52.b CADOLIVE!Qté))</f>
        <v>0</v>
      </c>
      <c r="C208" s="31">
        <f>(CADOLIVE!P_2_52.b CADOLIVE!PU)</f>
        <v>0</v>
      </c>
      <c r="D208" s="31">
        <f>IF(ISTEXT((CADOLIVE!P_2_52.b CADOLIVE!MT)),0,(CADOLIVE!P_2_52.b CADOLIVE!MT))</f>
        <v>0</v>
      </c>
    </row>
    <row r="209" spans="1:4" ht="15">
      <c r="A209" s="30" t="s">
        <v>1672</v>
      </c>
      <c r="B209" s="53">
        <f>IF(ISTEXT((CADOLIVE!P_2_53.a CADOLIVE!Qté)),0,(CADOLIVE!P_2_53.a CADOLIVE!Qté))</f>
        <v>0</v>
      </c>
      <c r="C209" s="31">
        <f>(CADOLIVE!P_2_53.a CADOLIVE!PU)</f>
        <v>0</v>
      </c>
      <c r="D209" s="31">
        <f>IF(ISTEXT((CADOLIVE!P_2_53.a CADOLIVE!MT)),0,(CADOLIVE!P_2_53.a CADOLIVE!MT))</f>
        <v>0</v>
      </c>
    </row>
    <row r="210" spans="1:4" ht="15">
      <c r="A210" s="30" t="s">
        <v>1673</v>
      </c>
      <c r="B210" s="53">
        <f>IF(ISTEXT((CADOLIVE!P_2_53.b CADOLIVE!Qté)),0,(CADOLIVE!P_2_53.b CADOLIVE!Qté))</f>
        <v>0</v>
      </c>
      <c r="C210" s="31">
        <f>(CADOLIVE!P_2_53.b CADOLIVE!PU)</f>
        <v>0</v>
      </c>
      <c r="D210" s="31">
        <f>IF(ISTEXT((CADOLIVE!P_2_53.b CADOLIVE!MT)),0,(CADOLIVE!P_2_53.b CADOLIVE!MT))</f>
        <v>0</v>
      </c>
    </row>
    <row r="211" spans="1:4" ht="15">
      <c r="A211" s="30" t="s">
        <v>1674</v>
      </c>
      <c r="B211" s="53">
        <f>IF(ISTEXT((CADOLIVE!P_2_53.c CADOLIVE!Qté)),0,(CADOLIVE!P_2_53.c CADOLIVE!Qté))</f>
        <v>0</v>
      </c>
      <c r="C211" s="31">
        <f>(CADOLIVE!P_2_53.c CADOLIVE!PU)</f>
        <v>0</v>
      </c>
      <c r="D211" s="31">
        <f>IF(ISTEXT((CADOLIVE!P_2_53.c CADOLIVE!MT)),0,(CADOLIVE!P_2_53.c CADOLIVE!MT))</f>
        <v>0</v>
      </c>
    </row>
    <row r="212" spans="1:4" ht="15">
      <c r="A212" s="30" t="s">
        <v>1675</v>
      </c>
      <c r="B212" s="53">
        <f>IF(ISTEXT((CADOLIVE!P_2_54.a CADOLIVE!Qté)),0,(CADOLIVE!P_2_54.a CADOLIVE!Qté))</f>
        <v>0</v>
      </c>
      <c r="C212" s="31">
        <f>(CADOLIVE!P_2_54.a CADOLIVE!PU)</f>
        <v>0</v>
      </c>
      <c r="D212" s="31">
        <f>IF(ISTEXT((CADOLIVE!P_2_54.a CADOLIVE!MT)),0,(CADOLIVE!P_2_54.a CADOLIVE!MT))</f>
        <v>0</v>
      </c>
    </row>
    <row r="213" spans="1:4" ht="15">
      <c r="A213" s="30" t="s">
        <v>1676</v>
      </c>
      <c r="B213" s="53">
        <f>IF(ISTEXT((CADOLIVE!P_2_54.b CADOLIVE!Qté)),0,(CADOLIVE!P_2_54.b CADOLIVE!Qté))</f>
        <v>0</v>
      </c>
      <c r="C213" s="31">
        <f>(CADOLIVE!P_2_54.b CADOLIVE!PU)</f>
        <v>0</v>
      </c>
      <c r="D213" s="31">
        <f>IF(ISTEXT((CADOLIVE!P_2_54.b CADOLIVE!MT)),0,(CADOLIVE!P_2_54.b CADOLIVE!MT))</f>
        <v>0</v>
      </c>
    </row>
    <row r="214" spans="1:4" ht="15">
      <c r="A214" s="30" t="s">
        <v>1677</v>
      </c>
      <c r="B214" s="53">
        <f>IF(ISTEXT((CADOLIVE!P_2_54.c CADOLIVE!Qté)),0,(CADOLIVE!P_2_54.c CADOLIVE!Qté))</f>
        <v>0</v>
      </c>
      <c r="C214" s="31">
        <f>(CADOLIVE!P_2_54.c CADOLIVE!PU)</f>
        <v>0</v>
      </c>
      <c r="D214" s="31">
        <f>IF(ISTEXT((CADOLIVE!P_2_54.c CADOLIVE!MT)),0,(CADOLIVE!P_2_54.c CADOLIVE!MT))</f>
        <v>0</v>
      </c>
    </row>
    <row r="215" spans="1:4" ht="15">
      <c r="A215" s="30" t="s">
        <v>1678</v>
      </c>
      <c r="B215" s="53">
        <f>IF(ISTEXT((CADOLIVE!P_2_54.d CADOLIVE!Qté)),0,(CADOLIVE!P_2_54.d CADOLIVE!Qté))</f>
        <v>0</v>
      </c>
      <c r="C215" s="31">
        <f>(CADOLIVE!P_2_54.d CADOLIVE!PU)</f>
        <v>0</v>
      </c>
      <c r="D215" s="31">
        <f>IF(ISTEXT((CADOLIVE!P_2_54.d CADOLIVE!MT)),0,(CADOLIVE!P_2_54.d CADOLIVE!MT))</f>
        <v>0</v>
      </c>
    </row>
    <row r="216" spans="1:4" ht="15">
      <c r="A216" s="30" t="s">
        <v>1679</v>
      </c>
      <c r="B216" s="53">
        <f>IF(ISTEXT((CADOLIVE!P_2_54.e CADOLIVE!Qté)),0,(CADOLIVE!P_2_54.e CADOLIVE!Qté))</f>
        <v>0</v>
      </c>
      <c r="C216" s="31">
        <f>(CADOLIVE!P_2_54.e CADOLIVE!PU)</f>
        <v>0</v>
      </c>
      <c r="D216" s="31">
        <f>IF(ISTEXT((CADOLIVE!P_2_54.e CADOLIVE!MT)),0,(CADOLIVE!P_2_54.e CADOLIVE!MT))</f>
        <v>0</v>
      </c>
    </row>
    <row r="217" spans="1:4" ht="15">
      <c r="A217" s="30" t="s">
        <v>1680</v>
      </c>
      <c r="B217" s="53">
        <f>IF(ISTEXT((CADOLIVE!P_2_54.f CADOLIVE!Qté)),0,(CADOLIVE!P_2_54.f CADOLIVE!Qté))</f>
        <v>0</v>
      </c>
      <c r="C217" s="31">
        <f>(CADOLIVE!P_2_54.f CADOLIVE!PU)</f>
        <v>0</v>
      </c>
      <c r="D217" s="31">
        <f>IF(ISTEXT((CADOLIVE!P_2_54.f CADOLIVE!MT)),0,(CADOLIVE!P_2_54.f CADOLIVE!MT))</f>
        <v>0</v>
      </c>
    </row>
    <row r="218" spans="1:4" ht="15">
      <c r="A218" s="30" t="s">
        <v>1681</v>
      </c>
      <c r="B218" s="53">
        <f>IF(ISTEXT((CADOLIVE!P_2_55.a CADOLIVE!Qté)),0,(CADOLIVE!P_2_55.a CADOLIVE!Qté))</f>
        <v>0</v>
      </c>
      <c r="C218" s="31">
        <f>(CADOLIVE!P_2_55.a CADOLIVE!PU)</f>
        <v>0</v>
      </c>
      <c r="D218" s="31">
        <f>IF(ISTEXT((CADOLIVE!P_2_55.a CADOLIVE!MT)),0,(CADOLIVE!P_2_55.a CADOLIVE!MT))</f>
        <v>0</v>
      </c>
    </row>
    <row r="219" spans="1:4" ht="15">
      <c r="A219" s="30" t="s">
        <v>1682</v>
      </c>
      <c r="B219" s="53">
        <f>IF(ISTEXT((CADOLIVE!P_2_55.b CADOLIVE!Qté)),0,(CADOLIVE!P_2_55.b CADOLIVE!Qté))</f>
        <v>0</v>
      </c>
      <c r="C219" s="31">
        <f>(CADOLIVE!P_2_55.b CADOLIVE!PU)</f>
        <v>0</v>
      </c>
      <c r="D219" s="31">
        <f>IF(ISTEXT((CADOLIVE!P_2_55.b CADOLIVE!MT)),0,(CADOLIVE!P_2_55.b CADOLIVE!MT))</f>
        <v>0</v>
      </c>
    </row>
    <row r="220" spans="1:4" ht="15">
      <c r="A220" s="30" t="s">
        <v>1683</v>
      </c>
      <c r="B220" s="53">
        <f>IF(ISTEXT((CADOLIVE!P_2_55.c CADOLIVE!Qté)),0,(CADOLIVE!P_2_55.c CADOLIVE!Qté))</f>
        <v>0</v>
      </c>
      <c r="C220" s="31">
        <f>(CADOLIVE!P_2_55.c CADOLIVE!PU)</f>
        <v>0</v>
      </c>
      <c r="D220" s="31">
        <f>IF(ISTEXT((CADOLIVE!P_2_55.c CADOLIVE!MT)),0,(CADOLIVE!P_2_55.c CADOLIVE!MT))</f>
        <v>0</v>
      </c>
    </row>
    <row r="221" spans="1:4" ht="15">
      <c r="A221" s="30" t="s">
        <v>1684</v>
      </c>
      <c r="B221" s="53">
        <f>IF(ISTEXT((CADOLIVE!P_2_55.d CADOLIVE!Qté)),0,(CADOLIVE!P_2_55.d CADOLIVE!Qté))</f>
        <v>0</v>
      </c>
      <c r="C221" s="31">
        <f>(CADOLIVE!P_2_55.d CADOLIVE!PU)</f>
        <v>0</v>
      </c>
      <c r="D221" s="31">
        <f>IF(ISTEXT((CADOLIVE!P_2_55.d CADOLIVE!MT)),0,(CADOLIVE!P_2_55.d CADOLIVE!MT))</f>
        <v>0</v>
      </c>
    </row>
    <row r="222" spans="1:4" ht="15">
      <c r="A222" s="30" t="s">
        <v>1685</v>
      </c>
      <c r="B222" s="53">
        <f>IF(ISTEXT((CADOLIVE!P_2_56.a CADOLIVE!Qté)),0,(CADOLIVE!P_2_56.a CADOLIVE!Qté))</f>
        <v>0</v>
      </c>
      <c r="C222" s="31">
        <f>(CADOLIVE!P_2_56.a CADOLIVE!PU)</f>
        <v>0</v>
      </c>
      <c r="D222" s="31">
        <f>IF(ISTEXT((CADOLIVE!P_2_56.a CADOLIVE!MT)),0,(CADOLIVE!P_2_56.a CADOLIVE!MT))</f>
        <v>0</v>
      </c>
    </row>
    <row r="223" spans="1:4" ht="15">
      <c r="A223" s="30" t="s">
        <v>1686</v>
      </c>
      <c r="B223" s="53">
        <f>IF(ISTEXT((CADOLIVE!P_2_56.b CADOLIVE!Qté)),0,(CADOLIVE!P_2_56.b CADOLIVE!Qté))</f>
        <v>0</v>
      </c>
      <c r="C223" s="31">
        <f>(CADOLIVE!P_2_56.b CADOLIVE!PU)</f>
        <v>0</v>
      </c>
      <c r="D223" s="31">
        <f>IF(ISTEXT((CADOLIVE!P_2_56.b CADOLIVE!MT)),0,(CADOLIVE!P_2_56.b CADOLIVE!MT))</f>
        <v>0</v>
      </c>
    </row>
    <row r="224" spans="1:4" ht="15">
      <c r="A224" s="30" t="s">
        <v>1687</v>
      </c>
      <c r="B224" s="53">
        <f>IF(ISTEXT((CADOLIVE!P_2_56.c CADOLIVE!Qté)),0,(CADOLIVE!P_2_56.c CADOLIVE!Qté))</f>
        <v>0</v>
      </c>
      <c r="C224" s="31">
        <f>(CADOLIVE!P_2_56.c CADOLIVE!PU)</f>
        <v>0</v>
      </c>
      <c r="D224" s="31">
        <f>IF(ISTEXT((CADOLIVE!P_2_56.c CADOLIVE!MT)),0,(CADOLIVE!P_2_56.c CADOLIVE!MT))</f>
        <v>0</v>
      </c>
    </row>
    <row r="225" spans="1:4" ht="15">
      <c r="A225" s="30" t="s">
        <v>1688</v>
      </c>
      <c r="B225" s="53">
        <f>IF(ISTEXT((CADOLIVE!P_2_56.d CADOLIVE!Qté)),0,(CADOLIVE!P_2_56.d CADOLIVE!Qté))</f>
        <v>0</v>
      </c>
      <c r="C225" s="31">
        <f>(CADOLIVE!P_2_56.d CADOLIVE!PU)</f>
        <v>0</v>
      </c>
      <c r="D225" s="31">
        <f>IF(ISTEXT((CADOLIVE!P_2_56.d CADOLIVE!MT)),0,(CADOLIVE!P_2_56.d CADOLIVE!MT))</f>
        <v>0</v>
      </c>
    </row>
    <row r="226" spans="1:4" ht="15">
      <c r="A226" s="30" t="s">
        <v>1689</v>
      </c>
      <c r="B226" s="53">
        <f>IF(ISTEXT((CADOLIVE!P_2_56.e CADOLIVE!Qté)),0,(CADOLIVE!P_2_56.e CADOLIVE!Qté))</f>
        <v>0</v>
      </c>
      <c r="C226" s="31">
        <f>(CADOLIVE!P_2_56.e CADOLIVE!PU)</f>
        <v>0</v>
      </c>
      <c r="D226" s="31">
        <f>IF(ISTEXT((CADOLIVE!P_2_56.e CADOLIVE!MT)),0,(CADOLIVE!P_2_56.e CADOLIVE!MT))</f>
        <v>0</v>
      </c>
    </row>
    <row r="227" spans="1:4" ht="15">
      <c r="A227" s="30" t="s">
        <v>1690</v>
      </c>
      <c r="B227" s="53">
        <f>IF(ISTEXT((CADOLIVE!P_2_56.f CADOLIVE!Qté)),0,(CADOLIVE!P_2_56.f CADOLIVE!Qté))</f>
        <v>0</v>
      </c>
      <c r="C227" s="31">
        <f>(CADOLIVE!P_2_56.f CADOLIVE!PU)</f>
        <v>0</v>
      </c>
      <c r="D227" s="31">
        <f>IF(ISTEXT((CADOLIVE!P_2_56.f CADOLIVE!MT)),0,(CADOLIVE!P_2_56.f CADOLIVE!MT))</f>
        <v>0</v>
      </c>
    </row>
    <row r="228" spans="1:4" ht="15">
      <c r="A228" s="30" t="s">
        <v>1396</v>
      </c>
      <c r="B228" s="53">
        <f>IF(ISTEXT((CADOLIVE!P_2_56.g CADOLIVE!Qté)),0,(CADOLIVE!P_2_56.g CADOLIVE!Qté))</f>
        <v>0</v>
      </c>
      <c r="C228" s="31">
        <f>(CADOLIVE!P_2_56.g CADOLIVE!PU)</f>
        <v>0</v>
      </c>
      <c r="D228" s="31">
        <f>IF(ISTEXT((CADOLIVE!P_2_56.g CADOLIVE!MT)),0,(CADOLIVE!P_2_56.g CADOLIVE!MT))</f>
        <v>0</v>
      </c>
    </row>
    <row r="229" spans="1:4" ht="15">
      <c r="A229" s="30" t="s">
        <v>1397</v>
      </c>
      <c r="B229" s="53">
        <f>IF(ISTEXT((CADOLIVE!P_2_56.h CADOLIVE!Qté)),0,(CADOLIVE!P_2_56.h CADOLIVE!Qté))</f>
        <v>0</v>
      </c>
      <c r="C229" s="31">
        <f>(CADOLIVE!P_2_56.h CADOLIVE!PU)</f>
        <v>0</v>
      </c>
      <c r="D229" s="31">
        <f>IF(ISTEXT((CADOLIVE!P_2_56.h CADOLIVE!MT)),0,(CADOLIVE!P_2_56.h CADOLIVE!MT))</f>
        <v>0</v>
      </c>
    </row>
    <row r="230" spans="1:4" ht="15">
      <c r="A230" s="30" t="s">
        <v>1691</v>
      </c>
      <c r="B230" s="53">
        <f>IF(ISTEXT((CADOLIVE!P_2_57.a CADOLIVE!Qté)),0,(CADOLIVE!P_2_57.a CADOLIVE!Qté))</f>
        <v>0</v>
      </c>
      <c r="C230" s="31">
        <f>(CADOLIVE!P_2_57.a CADOLIVE!PU)</f>
        <v>0</v>
      </c>
      <c r="D230" s="31">
        <f>IF(ISTEXT((CADOLIVE!P_2_57.a CADOLIVE!MT)),0,(CADOLIVE!P_2_57.a CADOLIVE!MT))</f>
        <v>0</v>
      </c>
    </row>
    <row r="231" spans="1:4" ht="15">
      <c r="A231" s="30" t="s">
        <v>1692</v>
      </c>
      <c r="B231" s="53">
        <f>IF(ISTEXT((CADOLIVE!P_2_57.b CADOLIVE!Qté)),0,(CADOLIVE!P_2_57.b CADOLIVE!Qté))</f>
        <v>0</v>
      </c>
      <c r="C231" s="31">
        <f>(CADOLIVE!P_2_57.b CADOLIVE!PU)</f>
        <v>0</v>
      </c>
      <c r="D231" s="31">
        <f>IF(ISTEXT((CADOLIVE!P_2_57.b CADOLIVE!MT)),0,(CADOLIVE!P_2_57.b CADOLIVE!MT))</f>
        <v>0</v>
      </c>
    </row>
    <row r="232" spans="1:4" ht="15">
      <c r="A232" s="30" t="s">
        <v>1693</v>
      </c>
      <c r="B232" s="53">
        <f>IF(ISTEXT((CADOLIVE!P_2_57.c CADOLIVE!Qté)),0,(CADOLIVE!P_2_57.c CADOLIVE!Qté))</f>
        <v>0</v>
      </c>
      <c r="C232" s="31">
        <f>(CADOLIVE!P_2_57.c CADOLIVE!PU)</f>
        <v>0</v>
      </c>
      <c r="D232" s="31">
        <f>IF(ISTEXT((CADOLIVE!P_2_57.c CADOLIVE!MT)),0,(CADOLIVE!P_2_57.c CADOLIVE!MT))</f>
        <v>0</v>
      </c>
    </row>
    <row r="233" spans="1:4" ht="15">
      <c r="A233" s="30" t="s">
        <v>1694</v>
      </c>
      <c r="B233" s="53">
        <f>IF(ISTEXT((CADOLIVE!P_2_57.d CADOLIVE!Qté)),0,(CADOLIVE!P_2_57.d CADOLIVE!Qté))</f>
        <v>0</v>
      </c>
      <c r="C233" s="31">
        <f>(CADOLIVE!P_2_57.d CADOLIVE!PU)</f>
        <v>0</v>
      </c>
      <c r="D233" s="31">
        <f>IF(ISTEXT((CADOLIVE!P_2_57.d CADOLIVE!MT)),0,(CADOLIVE!P_2_57.d CADOLIVE!MT))</f>
        <v>0</v>
      </c>
    </row>
    <row r="234" spans="1:4" ht="15">
      <c r="A234" s="30" t="s">
        <v>1695</v>
      </c>
      <c r="B234" s="53">
        <f>IF(ISTEXT((CADOLIVE!P_2_57.e CADOLIVE!Qté)),0,(CADOLIVE!P_2_57.e CADOLIVE!Qté))</f>
        <v>0</v>
      </c>
      <c r="C234" s="31">
        <f>(CADOLIVE!P_2_57.e CADOLIVE!PU)</f>
        <v>0</v>
      </c>
      <c r="D234" s="31">
        <f>IF(ISTEXT((CADOLIVE!P_2_57.e CADOLIVE!MT)),0,(CADOLIVE!P_2_57.e CADOLIVE!MT))</f>
        <v>0</v>
      </c>
    </row>
    <row r="235" spans="1:4" ht="15">
      <c r="A235" s="30" t="s">
        <v>1696</v>
      </c>
      <c r="B235" s="53">
        <f>IF(ISTEXT((CADOLIVE!P_2_57.f CADOLIVE!Qté)),0,(CADOLIVE!P_2_57.f CADOLIVE!Qté))</f>
        <v>0</v>
      </c>
      <c r="C235" s="31">
        <f>(CADOLIVE!P_2_57.f CADOLIVE!PU)</f>
        <v>0</v>
      </c>
      <c r="D235" s="31">
        <f>IF(ISTEXT((CADOLIVE!P_2_57.f CADOLIVE!MT)),0,(CADOLIVE!P_2_57.f CADOLIVE!MT))</f>
        <v>0</v>
      </c>
    </row>
    <row r="236" spans="1:4" ht="15">
      <c r="A236" s="30" t="s">
        <v>1697</v>
      </c>
      <c r="B236" s="53">
        <f>IF(ISTEXT((CADOLIVE!P_2_57.g CADOLIVE!Qté)),0,(CADOLIVE!P_2_57.g CADOLIVE!Qté))</f>
        <v>0</v>
      </c>
      <c r="C236" s="31">
        <f>(CADOLIVE!P_2_57.g CADOLIVE!PU)</f>
        <v>0</v>
      </c>
      <c r="D236" s="31">
        <f>IF(ISTEXT((CADOLIVE!P_2_57.g CADOLIVE!MT)),0,(CADOLIVE!P_2_57.g CADOLIVE!MT))</f>
        <v>0</v>
      </c>
    </row>
    <row r="237" spans="1:4" ht="15">
      <c r="A237" s="30" t="s">
        <v>1698</v>
      </c>
      <c r="B237" s="53">
        <f>IF(ISTEXT((CADOLIVE!P_2_58.a CADOLIVE!Qté)),0,(CADOLIVE!P_2_58.a CADOLIVE!Qté))</f>
        <v>0</v>
      </c>
      <c r="C237" s="31">
        <f>(CADOLIVE!P_2_58.a CADOLIVE!PU)</f>
        <v>0</v>
      </c>
      <c r="D237" s="31">
        <f>IF(ISTEXT((CADOLIVE!P_2_58.a CADOLIVE!MT)),0,(CADOLIVE!P_2_58.a CADOLIVE!MT))</f>
        <v>0</v>
      </c>
    </row>
    <row r="238" spans="1:4" ht="15">
      <c r="A238" s="30" t="s">
        <v>1699</v>
      </c>
      <c r="B238" s="53">
        <f>IF(ISTEXT((CADOLIVE!P_2_58.b CADOLIVE!Qté)),0,(CADOLIVE!P_2_58.b CADOLIVE!Qté))</f>
        <v>0</v>
      </c>
      <c r="C238" s="31">
        <f>(CADOLIVE!P_2_58.b CADOLIVE!PU)</f>
        <v>0</v>
      </c>
      <c r="D238" s="31">
        <f>IF(ISTEXT((CADOLIVE!P_2_58.b CADOLIVE!MT)),0,(CADOLIVE!P_2_58.b CADOLIVE!MT))</f>
        <v>0</v>
      </c>
    </row>
    <row r="239" spans="1:4" ht="15">
      <c r="A239" s="30" t="s">
        <v>1700</v>
      </c>
      <c r="B239" s="53">
        <f>IF(ISTEXT((CADOLIVE!P_2_58.c CADOLIVE!Qté)),0,(CADOLIVE!P_2_58.c CADOLIVE!Qté))</f>
        <v>0</v>
      </c>
      <c r="C239" s="31">
        <f>(CADOLIVE!P_2_58.c CADOLIVE!PU)</f>
        <v>0</v>
      </c>
      <c r="D239" s="31">
        <f>IF(ISTEXT((CADOLIVE!P_2_58.c CADOLIVE!MT)),0,(CADOLIVE!P_2_58.c CADOLIVE!MT))</f>
        <v>0</v>
      </c>
    </row>
    <row r="240" spans="1:4" ht="15">
      <c r="A240" s="30" t="s">
        <v>1701</v>
      </c>
      <c r="B240" s="53">
        <f>IF(ISTEXT((CADOLIVE!P_2_58.d CADOLIVE!Qté)),0,(CADOLIVE!P_2_58.d CADOLIVE!Qté))</f>
        <v>0</v>
      </c>
      <c r="C240" s="31">
        <f>(CADOLIVE!P_2_58.d CADOLIVE!PU)</f>
        <v>0</v>
      </c>
      <c r="D240" s="31">
        <f>IF(ISTEXT((CADOLIVE!P_2_58.d CADOLIVE!MT)),0,(CADOLIVE!P_2_58.d CADOLIVE!MT))</f>
        <v>0</v>
      </c>
    </row>
    <row r="241" spans="1:4" ht="15">
      <c r="A241" s="30" t="s">
        <v>1702</v>
      </c>
      <c r="B241" s="53">
        <f>IF(ISTEXT((CADOLIVE!P_2_59.a CADOLIVE!Qté)),0,(CADOLIVE!P_2_59.a CADOLIVE!Qté))</f>
        <v>0</v>
      </c>
      <c r="C241" s="31">
        <f>(CADOLIVE!P_2_59.a CADOLIVE!PU)</f>
        <v>0</v>
      </c>
      <c r="D241" s="31">
        <f>IF(ISTEXT((CADOLIVE!P_2_59.a CADOLIVE!MT)),0,(CADOLIVE!P_2_59.a CADOLIVE!MT))</f>
        <v>0</v>
      </c>
    </row>
    <row r="242" spans="1:4" ht="15">
      <c r="A242" s="30" t="s">
        <v>1703</v>
      </c>
      <c r="B242" s="53">
        <f>IF(ISTEXT((CADOLIVE!P_2_59.b CADOLIVE!Qté)),0,(CADOLIVE!P_2_59.b CADOLIVE!Qté))</f>
        <v>0</v>
      </c>
      <c r="C242" s="31">
        <f>(CADOLIVE!P_2_59.b CADOLIVE!PU)</f>
        <v>0</v>
      </c>
      <c r="D242" s="31">
        <f>IF(ISTEXT((CADOLIVE!P_2_59.b CADOLIVE!MT)),0,(CADOLIVE!P_2_59.b CADOLIVE!MT))</f>
        <v>0</v>
      </c>
    </row>
    <row r="243" spans="1:4" ht="15">
      <c r="A243" s="30" t="s">
        <v>1704</v>
      </c>
      <c r="B243" s="53">
        <f>IF(ISTEXT((CADOLIVE!P_2_60.a CADOLIVE!Qté)),0,(CADOLIVE!P_2_60.a CADOLIVE!Qté))</f>
        <v>0</v>
      </c>
      <c r="C243" s="31">
        <f>(CADOLIVE!P_2_60.a CADOLIVE!PU)</f>
        <v>0</v>
      </c>
      <c r="D243" s="31">
        <f>IF(ISTEXT((CADOLIVE!P_2_60.a CADOLIVE!MT)),0,(CADOLIVE!P_2_60.a CADOLIVE!MT))</f>
        <v>0</v>
      </c>
    </row>
    <row r="244" spans="1:4" ht="15">
      <c r="A244" s="30" t="s">
        <v>1705</v>
      </c>
      <c r="B244" s="53">
        <f>IF(ISTEXT((CADOLIVE!P_2_60.b CADOLIVE!Qté)),0,(CADOLIVE!P_2_60.b CADOLIVE!Qté))</f>
        <v>0</v>
      </c>
      <c r="C244" s="31">
        <f>(CADOLIVE!P_2_60.b CADOLIVE!PU)</f>
        <v>0</v>
      </c>
      <c r="D244" s="31">
        <f>IF(ISTEXT((CADOLIVE!P_2_60.b CADOLIVE!MT)),0,(CADOLIVE!P_2_60.b CADOLIVE!MT))</f>
        <v>0</v>
      </c>
    </row>
    <row r="245" spans="1:4" ht="15">
      <c r="A245" s="30" t="s">
        <v>1706</v>
      </c>
      <c r="B245" s="53">
        <f>IF(ISTEXT((CADOLIVE!P_2_60.c CADOLIVE!Qté)),0,(CADOLIVE!P_2_60.c CADOLIVE!Qté))</f>
        <v>0</v>
      </c>
      <c r="C245" s="31">
        <f>(CADOLIVE!P_2_60.c CADOLIVE!PU)</f>
        <v>0</v>
      </c>
      <c r="D245" s="31">
        <f>IF(ISTEXT((CADOLIVE!P_2_60.c CADOLIVE!MT)),0,(CADOLIVE!P_2_60.c CADOLIVE!MT))</f>
        <v>0</v>
      </c>
    </row>
    <row r="246" spans="1:4" ht="15">
      <c r="A246" s="30" t="s">
        <v>966</v>
      </c>
      <c r="B246" s="53">
        <f>IF(ISTEXT((CADOLIVE!P_2_61 CADOLIVE!Qté)),0,(CADOLIVE!P_2_61 CADOLIVE!Qté))</f>
        <v>0</v>
      </c>
      <c r="C246" s="31">
        <f>(CADOLIVE!P_2_61 CADOLIVE!PU)</f>
        <v>0</v>
      </c>
      <c r="D246" s="31">
        <f>IF(ISTEXT((CADOLIVE!P_2_61 CADOLIVE!MT)),0,(CADOLIVE!P_2_61 CADOLIVE!MT))</f>
        <v>0</v>
      </c>
    </row>
    <row r="247" spans="1:4" ht="15">
      <c r="A247" s="30" t="s">
        <v>1708</v>
      </c>
      <c r="B247" s="53">
        <f>IF(ISTEXT((CADOLIVE!P_2_62.a CADOLIVE!Qté)),0,(CADOLIVE!P_2_62.a CADOLIVE!Qté))</f>
        <v>0</v>
      </c>
      <c r="C247" s="31">
        <f>(CADOLIVE!P_2_62.a CADOLIVE!PU)</f>
        <v>0</v>
      </c>
      <c r="D247" s="31">
        <f>IF(ISTEXT((CADOLIVE!P_2_62.a CADOLIVE!MT)),0,(CADOLIVE!P_2_62.a CADOLIVE!MT))</f>
        <v>0</v>
      </c>
    </row>
    <row r="248" spans="1:4" ht="15">
      <c r="A248" s="30" t="s">
        <v>1709</v>
      </c>
      <c r="B248" s="53">
        <f>IF(ISTEXT((CADOLIVE!P_2_62.b CADOLIVE!Qté)),0,(CADOLIVE!P_2_62.b CADOLIVE!Qté))</f>
        <v>0</v>
      </c>
      <c r="C248" s="31">
        <f>(CADOLIVE!P_2_62.b CADOLIVE!PU)</f>
        <v>0</v>
      </c>
      <c r="D248" s="31">
        <f>IF(ISTEXT((CADOLIVE!P_2_62.b CADOLIVE!MT)),0,(CADOLIVE!P_2_62.b CADOLIVE!MT))</f>
        <v>0</v>
      </c>
    </row>
    <row r="249" spans="1:4" ht="15">
      <c r="A249" s="30" t="s">
        <v>968</v>
      </c>
      <c r="B249" s="53">
        <f>IF(ISTEXT((CADOLIVE!P_2_63 CADOLIVE!Qté)),0,(CADOLIVE!P_2_63 CADOLIVE!Qté))</f>
        <v>0</v>
      </c>
      <c r="C249" s="31">
        <f>(CADOLIVE!P_2_63 CADOLIVE!PU)</f>
        <v>0</v>
      </c>
      <c r="D249" s="31">
        <f>IF(ISTEXT((CADOLIVE!P_2_63 CADOLIVE!MT)),0,(CADOLIVE!P_2_63 CADOLIVE!MT))</f>
        <v>0</v>
      </c>
    </row>
    <row r="250" spans="1:4" ht="15">
      <c r="A250" s="30" t="s">
        <v>1710</v>
      </c>
      <c r="B250" s="53">
        <f>IF(ISTEXT((CADOLIVE!P_2_64.a CADOLIVE!Qté)),0,(CADOLIVE!P_2_64.a CADOLIVE!Qté))</f>
        <v>0</v>
      </c>
      <c r="C250" s="31">
        <f>(CADOLIVE!P_2_64.a CADOLIVE!PU)</f>
        <v>0</v>
      </c>
      <c r="D250" s="31">
        <f>IF(ISTEXT((CADOLIVE!P_2_64.a CADOLIVE!MT)),0,(CADOLIVE!P_2_64.a CADOLIVE!MT))</f>
        <v>0</v>
      </c>
    </row>
    <row r="251" spans="1:4" ht="15">
      <c r="A251" s="30" t="s">
        <v>1711</v>
      </c>
      <c r="B251" s="53">
        <f>IF(ISTEXT((CADOLIVE!P_2_64.b CADOLIVE!Qté)),0,(CADOLIVE!P_2_64.b CADOLIVE!Qté))</f>
        <v>0</v>
      </c>
      <c r="C251" s="31">
        <f>(CADOLIVE!P_2_64.b CADOLIVE!PU)</f>
        <v>0</v>
      </c>
      <c r="D251" s="31">
        <f>IF(ISTEXT((CADOLIVE!P_2_64.b CADOLIVE!MT)),0,(CADOLIVE!P_2_64.b CADOLIVE!MT))</f>
        <v>0</v>
      </c>
    </row>
    <row r="252" spans="1:4" ht="15">
      <c r="A252" s="30" t="s">
        <v>1712</v>
      </c>
      <c r="B252" s="53">
        <f>IF(ISTEXT((CADOLIVE!P_2_64.c CADOLIVE!Qté)),0,(CADOLIVE!P_2_64.c CADOLIVE!Qté))</f>
        <v>0</v>
      </c>
      <c r="C252" s="31">
        <f>(CADOLIVE!P_2_64.c CADOLIVE!PU)</f>
        <v>0</v>
      </c>
      <c r="D252" s="31">
        <f>IF(ISTEXT((CADOLIVE!P_2_64.c CADOLIVE!MT)),0,(CADOLIVE!P_2_64.c CADOLIVE!MT))</f>
        <v>0</v>
      </c>
    </row>
    <row r="253" spans="1:4" ht="15">
      <c r="A253" s="30" t="s">
        <v>1713</v>
      </c>
      <c r="B253" s="53">
        <f>IF(ISTEXT((CADOLIVE!P_2_65.a CADOLIVE!Qté)),0,(CADOLIVE!P_2_65.a CADOLIVE!Qté))</f>
        <v>0</v>
      </c>
      <c r="C253" s="31">
        <f>(CADOLIVE!P_2_65.a CADOLIVE!PU)</f>
        <v>0</v>
      </c>
      <c r="D253" s="31">
        <f>IF(ISTEXT((CADOLIVE!P_2_65.a CADOLIVE!MT)),0,(CADOLIVE!P_2_65.a CADOLIVE!MT))</f>
        <v>0</v>
      </c>
    </row>
    <row r="254" spans="1:4" ht="15">
      <c r="A254" s="30" t="s">
        <v>1714</v>
      </c>
      <c r="B254" s="53">
        <f>IF(ISTEXT((CADOLIVE!P_2_65.b CADOLIVE!Qté)),0,(CADOLIVE!P_2_65.b CADOLIVE!Qté))</f>
        <v>0</v>
      </c>
      <c r="C254" s="31">
        <f>(CADOLIVE!P_2_65.b CADOLIVE!PU)</f>
        <v>0</v>
      </c>
      <c r="D254" s="31">
        <f>IF(ISTEXT((CADOLIVE!P_2_65.b CADOLIVE!MT)),0,(CADOLIVE!P_2_65.b CADOLIVE!MT))</f>
        <v>0</v>
      </c>
    </row>
    <row r="255" spans="1:4" ht="15">
      <c r="A255" s="30" t="s">
        <v>1715</v>
      </c>
      <c r="B255" s="53">
        <f>IF(ISTEXT((CADOLIVE!P_2_65.c CADOLIVE!Qté)),0,(CADOLIVE!P_2_65.c CADOLIVE!Qté))</f>
        <v>0</v>
      </c>
      <c r="C255" s="31">
        <f>(CADOLIVE!P_2_65.c CADOLIVE!PU)</f>
        <v>0</v>
      </c>
      <c r="D255" s="31">
        <f>IF(ISTEXT((CADOLIVE!P_2_65.c CADOLIVE!MT)),0,(CADOLIVE!P_2_65.c CADOLIVE!MT))</f>
        <v>0</v>
      </c>
    </row>
    <row r="256" spans="1:4" ht="15">
      <c r="A256" s="30" t="s">
        <v>1716</v>
      </c>
      <c r="B256" s="53">
        <f>IF(ISTEXT((CADOLIVE!P_2_65.d CADOLIVE!Qté)),0,(CADOLIVE!P_2_65.d CADOLIVE!Qté))</f>
        <v>0</v>
      </c>
      <c r="C256" s="31">
        <f>(CADOLIVE!P_2_65.d CADOLIVE!PU)</f>
        <v>0</v>
      </c>
      <c r="D256" s="31">
        <f>IF(ISTEXT((CADOLIVE!P_2_65.d CADOLIVE!MT)),0,(CADOLIVE!P_2_65.d CADOLIVE!MT))</f>
        <v>0</v>
      </c>
    </row>
    <row r="257" spans="1:4" ht="15">
      <c r="A257" s="30" t="s">
        <v>1717</v>
      </c>
      <c r="B257" s="53">
        <f>IF(ISTEXT((CADOLIVE!P_2_65.e CADOLIVE!Qté)),0,(CADOLIVE!P_2_65.e CADOLIVE!Qté))</f>
        <v>0</v>
      </c>
      <c r="C257" s="31">
        <f>(CADOLIVE!P_2_65.e CADOLIVE!PU)</f>
        <v>0</v>
      </c>
      <c r="D257" s="31">
        <f>IF(ISTEXT((CADOLIVE!P_2_65.e CADOLIVE!MT)),0,(CADOLIVE!P_2_65.e CADOLIVE!MT))</f>
        <v>0</v>
      </c>
    </row>
    <row r="258" spans="1:4" ht="15">
      <c r="A258" s="30" t="s">
        <v>1718</v>
      </c>
      <c r="B258" s="53">
        <f>IF(ISTEXT((CADOLIVE!P_2_65.f CADOLIVE!Qté)),0,(CADOLIVE!P_2_65.f CADOLIVE!Qté))</f>
        <v>0</v>
      </c>
      <c r="C258" s="31">
        <f>(CADOLIVE!P_2_65.f CADOLIVE!PU)</f>
        <v>0</v>
      </c>
      <c r="D258" s="31">
        <f>IF(ISTEXT((CADOLIVE!P_2_65.f CADOLIVE!MT)),0,(CADOLIVE!P_2_65.f CADOLIVE!MT))</f>
        <v>0</v>
      </c>
    </row>
    <row r="259" spans="1:4" ht="15">
      <c r="A259" s="30" t="s">
        <v>1719</v>
      </c>
      <c r="B259" s="53">
        <f>IF(ISTEXT((CADOLIVE!P_2_65.g CADOLIVE!Qté)),0,(CADOLIVE!P_2_65.g CADOLIVE!Qté))</f>
        <v>0</v>
      </c>
      <c r="C259" s="31">
        <f>(CADOLIVE!P_2_65.g CADOLIVE!PU)</f>
        <v>0</v>
      </c>
      <c r="D259" s="31">
        <f>IF(ISTEXT((CADOLIVE!P_2_65.g CADOLIVE!MT)),0,(CADOLIVE!P_2_65.g CADOLIVE!MT))</f>
        <v>0</v>
      </c>
    </row>
    <row r="260" spans="1:4" ht="15">
      <c r="A260" s="30" t="s">
        <v>1720</v>
      </c>
      <c r="B260" s="53">
        <f>IF(ISTEXT((CADOLIVE!P_2_65.h CADOLIVE!Qté)),0,(CADOLIVE!P_2_65.h CADOLIVE!Qté))</f>
        <v>0</v>
      </c>
      <c r="C260" s="31">
        <f>(CADOLIVE!P_2_65.h CADOLIVE!PU)</f>
        <v>0</v>
      </c>
      <c r="D260" s="31">
        <f>IF(ISTEXT((CADOLIVE!P_2_65.h CADOLIVE!MT)),0,(CADOLIVE!P_2_65.h CADOLIVE!MT))</f>
        <v>0</v>
      </c>
    </row>
    <row r="261" spans="1:4" ht="15">
      <c r="A261" s="30" t="s">
        <v>1721</v>
      </c>
      <c r="B261" s="53">
        <f>IF(ISTEXT((CADOLIVE!P_2_65.i CADOLIVE!Qté)),0,(CADOLIVE!P_2_65.i CADOLIVE!Qté))</f>
        <v>0</v>
      </c>
      <c r="C261" s="31">
        <f>(CADOLIVE!P_2_65.i CADOLIVE!PU)</f>
        <v>0</v>
      </c>
      <c r="D261" s="31">
        <f>IF(ISTEXT((CADOLIVE!P_2_65.i CADOLIVE!MT)),0,(CADOLIVE!P_2_65.i CADOLIVE!MT))</f>
        <v>0</v>
      </c>
    </row>
    <row r="262" spans="1:4" ht="15">
      <c r="A262" s="30" t="s">
        <v>1722</v>
      </c>
      <c r="B262" s="53">
        <f>IF(ISTEXT((CADOLIVE!P_2_65.j CADOLIVE!Qté)),0,(CADOLIVE!P_2_65.j CADOLIVE!Qté))</f>
        <v>0</v>
      </c>
      <c r="C262" s="31">
        <f>(CADOLIVE!P_2_65.j CADOLIVE!PU)</f>
        <v>0</v>
      </c>
      <c r="D262" s="31">
        <f>IF(ISTEXT((CADOLIVE!P_2_65.j CADOLIVE!MT)),0,(CADOLIVE!P_2_65.j CADOLIVE!MT))</f>
        <v>0</v>
      </c>
    </row>
    <row r="263" spans="1:4" ht="15">
      <c r="A263" s="30" t="s">
        <v>1723</v>
      </c>
      <c r="B263" s="53">
        <f>IF(ISTEXT((CADOLIVE!P_2_65.k CADOLIVE!Qté)),0,(CADOLIVE!P_2_65.k CADOLIVE!Qté))</f>
        <v>0</v>
      </c>
      <c r="C263" s="31">
        <f>(CADOLIVE!P_2_65.k CADOLIVE!PU)</f>
        <v>0</v>
      </c>
      <c r="D263" s="31">
        <f>IF(ISTEXT((CADOLIVE!P_2_65.k CADOLIVE!MT)),0,(CADOLIVE!P_2_65.k CADOLIVE!MT))</f>
        <v>0</v>
      </c>
    </row>
    <row r="264" spans="1:4" ht="15">
      <c r="A264" s="30" t="s">
        <v>1724</v>
      </c>
      <c r="B264" s="53">
        <f>IF(ISTEXT((CADOLIVE!P_2_65.l CADOLIVE!Qté)),0,(CADOLIVE!P_2_65.l CADOLIVE!Qté))</f>
        <v>0</v>
      </c>
      <c r="C264" s="31">
        <f>(CADOLIVE!P_2_65.l CADOLIVE!PU)</f>
        <v>0</v>
      </c>
      <c r="D264" s="31">
        <f>IF(ISTEXT((CADOLIVE!P_2_65.l CADOLIVE!MT)),0,(CADOLIVE!P_2_65.l CADOLIVE!MT))</f>
        <v>0</v>
      </c>
    </row>
    <row r="265" spans="1:4" ht="15">
      <c r="A265" s="30" t="s">
        <v>1725</v>
      </c>
      <c r="B265" s="53">
        <f>IF(ISTEXT((CADOLIVE!P_2_65.m CADOLIVE!Qté)),0,(CADOLIVE!P_2_65.m CADOLIVE!Qté))</f>
        <v>0</v>
      </c>
      <c r="C265" s="31">
        <f>(CADOLIVE!P_2_65.m CADOLIVE!PU)</f>
        <v>0</v>
      </c>
      <c r="D265" s="31">
        <f>IF(ISTEXT((CADOLIVE!P_2_65.m CADOLIVE!MT)),0,(CADOLIVE!P_2_65.m CADOLIVE!MT))</f>
        <v>0</v>
      </c>
    </row>
    <row r="266" spans="1:4" ht="15">
      <c r="A266" s="30" t="s">
        <v>1726</v>
      </c>
      <c r="B266" s="53">
        <f>IF(ISTEXT((CADOLIVE!P_2_65.n CADOLIVE!Qté)),0,(CADOLIVE!P_2_65.n CADOLIVE!Qté))</f>
        <v>0</v>
      </c>
      <c r="C266" s="31">
        <f>(CADOLIVE!P_2_65.n CADOLIVE!PU)</f>
        <v>0</v>
      </c>
      <c r="D266" s="31">
        <f>IF(ISTEXT((CADOLIVE!P_2_65.n CADOLIVE!MT)),0,(CADOLIVE!P_2_65.n CADOLIVE!MT))</f>
        <v>0</v>
      </c>
    </row>
    <row r="267" spans="1:4" ht="15">
      <c r="A267" s="30" t="s">
        <v>1727</v>
      </c>
      <c r="B267" s="53">
        <f>IF(ISTEXT((CADOLIVE!P_2_65.o CADOLIVE!Qté)),0,(CADOLIVE!P_2_65.o CADOLIVE!Qté))</f>
        <v>0</v>
      </c>
      <c r="C267" s="31">
        <f>(CADOLIVE!P_2_65.o CADOLIVE!PU)</f>
        <v>0</v>
      </c>
      <c r="D267" s="31">
        <f>IF(ISTEXT((CADOLIVE!P_2_65.o CADOLIVE!MT)),0,(CADOLIVE!P_2_65.o CADOLIVE!MT))</f>
        <v>0</v>
      </c>
    </row>
    <row r="268" spans="1:4" ht="15">
      <c r="A268" s="30" t="s">
        <v>1728</v>
      </c>
      <c r="B268" s="53">
        <f>IF(ISTEXT((CADOLIVE!P_2_65.p CADOLIVE!Qté)),0,(CADOLIVE!P_2_65.p CADOLIVE!Qté))</f>
        <v>0</v>
      </c>
      <c r="C268" s="31">
        <f>(CADOLIVE!P_2_65.p CADOLIVE!PU)</f>
        <v>0</v>
      </c>
      <c r="D268" s="31">
        <f>IF(ISTEXT((CADOLIVE!P_2_65.p CADOLIVE!MT)),0,(CADOLIVE!P_2_65.p CADOLIVE!MT))</f>
        <v>0</v>
      </c>
    </row>
    <row r="269" spans="1:4" ht="15">
      <c r="A269" s="30" t="s">
        <v>1729</v>
      </c>
      <c r="B269" s="53">
        <f>IF(ISTEXT((CADOLIVE!P_2_65.q CADOLIVE!Qté)),0,(CADOLIVE!P_2_65.q CADOLIVE!Qté))</f>
        <v>0</v>
      </c>
      <c r="C269" s="31">
        <f>(CADOLIVE!P_2_65.q CADOLIVE!PU)</f>
        <v>0</v>
      </c>
      <c r="D269" s="31">
        <f>IF(ISTEXT((CADOLIVE!P_2_65.q CADOLIVE!MT)),0,(CADOLIVE!P_2_65.q CADOLIVE!MT))</f>
        <v>0</v>
      </c>
    </row>
    <row r="270" spans="1:4" ht="15">
      <c r="A270" s="30" t="s">
        <v>971</v>
      </c>
      <c r="B270" s="53">
        <f>IF(ISTEXT((CADOLIVE!P_2_66 CADOLIVE!Qté)),0,(CADOLIVE!P_2_66 CADOLIVE!Qté))</f>
        <v>0</v>
      </c>
      <c r="C270" s="31">
        <f>(CADOLIVE!P_2_66 CADOLIVE!PU)</f>
        <v>0</v>
      </c>
      <c r="D270" s="31">
        <f>IF(ISTEXT((CADOLIVE!P_2_66 CADOLIVE!MT)),0,(CADOLIVE!P_2_66 CADOLIVE!MT))</f>
        <v>0</v>
      </c>
    </row>
    <row r="271" spans="1:4" ht="15">
      <c r="A271" s="30" t="s">
        <v>1730</v>
      </c>
      <c r="B271" s="53">
        <f>IF(ISTEXT((CADOLIVE!P_2_67.a CADOLIVE!Qté)),0,(CADOLIVE!P_2_67.a CADOLIVE!Qté))</f>
        <v>0</v>
      </c>
      <c r="C271" s="31">
        <f>(CADOLIVE!P_2_67.a CADOLIVE!PU)</f>
        <v>0</v>
      </c>
      <c r="D271" s="31">
        <f>IF(ISTEXT((CADOLIVE!P_2_67.a CADOLIVE!MT)),0,(CADOLIVE!P_2_67.a CADOLIVE!MT))</f>
        <v>0</v>
      </c>
    </row>
    <row r="272" spans="1:4" ht="15">
      <c r="A272" s="30" t="s">
        <v>1731</v>
      </c>
      <c r="B272" s="53">
        <f>IF(ISTEXT((CADOLIVE!P_2_67.b CADOLIVE!Qté)),0,(CADOLIVE!P_2_67.b CADOLIVE!Qté))</f>
        <v>0</v>
      </c>
      <c r="C272" s="31">
        <f>(CADOLIVE!P_2_67.b CADOLIVE!PU)</f>
        <v>0</v>
      </c>
      <c r="D272" s="31">
        <f>IF(ISTEXT((CADOLIVE!P_2_67.b CADOLIVE!MT)),0,(CADOLIVE!P_2_67.b CADOLIVE!MT))</f>
        <v>0</v>
      </c>
    </row>
    <row r="273" spans="1:4" ht="15">
      <c r="A273" s="30" t="s">
        <v>1732</v>
      </c>
      <c r="B273" s="53">
        <f>IF(ISTEXT((CADOLIVE!P_2_67.c CADOLIVE!Qté)),0,(CADOLIVE!P_2_67.c CADOLIVE!Qté))</f>
        <v>0</v>
      </c>
      <c r="C273" s="31">
        <f>(CADOLIVE!P_2_67.c CADOLIVE!PU)</f>
        <v>0</v>
      </c>
      <c r="D273" s="31">
        <f>IF(ISTEXT((CADOLIVE!P_2_67.c CADOLIVE!MT)),0,(CADOLIVE!P_2_67.c CADOLIVE!MT))</f>
        <v>0</v>
      </c>
    </row>
    <row r="274" spans="1:4" ht="15">
      <c r="A274" s="30" t="s">
        <v>1733</v>
      </c>
      <c r="B274" s="53">
        <f>IF(ISTEXT((CADOLIVE!P_2_67.d CADOLIVE!Qté)),0,(CADOLIVE!P_2_67.d CADOLIVE!Qté))</f>
        <v>0</v>
      </c>
      <c r="C274" s="31">
        <f>(CADOLIVE!P_2_67.d CADOLIVE!PU)</f>
        <v>0</v>
      </c>
      <c r="D274" s="31">
        <f>IF(ISTEXT((CADOLIVE!P_2_67.d CADOLIVE!MT)),0,(CADOLIVE!P_2_67.d CADOLIVE!MT))</f>
        <v>0</v>
      </c>
    </row>
    <row r="275" spans="1:4" ht="15">
      <c r="A275" s="30" t="s">
        <v>1734</v>
      </c>
      <c r="B275" s="53">
        <f>IF(ISTEXT((CADOLIVE!P_2_67.e CADOLIVE!Qté)),0,(CADOLIVE!P_2_67.e CADOLIVE!Qté))</f>
        <v>0</v>
      </c>
      <c r="C275" s="31">
        <f>(CADOLIVE!P_2_67.e CADOLIVE!PU)</f>
        <v>0</v>
      </c>
      <c r="D275" s="31">
        <f>IF(ISTEXT((CADOLIVE!P_2_67.e CADOLIVE!MT)),0,(CADOLIVE!P_2_67.e CADOLIVE!MT))</f>
        <v>0</v>
      </c>
    </row>
    <row r="276" spans="1:4" ht="15">
      <c r="A276" s="30" t="s">
        <v>1735</v>
      </c>
      <c r="B276" s="53">
        <f>IF(ISTEXT((CADOLIVE!P_2_67.f CADOLIVE!Qté)),0,(CADOLIVE!P_2_67.f CADOLIVE!Qté))</f>
        <v>0</v>
      </c>
      <c r="C276" s="31">
        <f>(CADOLIVE!P_2_67.f CADOLIVE!PU)</f>
        <v>0</v>
      </c>
      <c r="D276" s="31">
        <f>IF(ISTEXT((CADOLIVE!P_2_67.f CADOLIVE!MT)),0,(CADOLIVE!P_2_67.f CADOLIVE!MT))</f>
        <v>0</v>
      </c>
    </row>
    <row r="277" spans="1:4" ht="15">
      <c r="A277" s="30" t="s">
        <v>1736</v>
      </c>
      <c r="B277" s="53">
        <f>IF(ISTEXT((CADOLIVE!P_2_67.g CADOLIVE!Qté)),0,(CADOLIVE!P_2_67.g CADOLIVE!Qté))</f>
        <v>0</v>
      </c>
      <c r="C277" s="31">
        <f>(CADOLIVE!P_2_67.g CADOLIVE!PU)</f>
        <v>0</v>
      </c>
      <c r="D277" s="31">
        <f>IF(ISTEXT((CADOLIVE!P_2_67.g CADOLIVE!MT)),0,(CADOLIVE!P_2_67.g CADOLIVE!MT))</f>
        <v>0</v>
      </c>
    </row>
    <row r="278" spans="1:4" ht="15">
      <c r="A278" s="30" t="s">
        <v>1737</v>
      </c>
      <c r="B278" s="53">
        <f>IF(ISTEXT((CADOLIVE!P_2_67.h CADOLIVE!Qté)),0,(CADOLIVE!P_2_67.h CADOLIVE!Qté))</f>
        <v>0</v>
      </c>
      <c r="C278" s="31">
        <f>(CADOLIVE!P_2_67.h CADOLIVE!PU)</f>
        <v>0</v>
      </c>
      <c r="D278" s="31">
        <f>IF(ISTEXT((CADOLIVE!P_2_67.h CADOLIVE!MT)),0,(CADOLIVE!P_2_67.h CADOLIVE!MT))</f>
        <v>0</v>
      </c>
    </row>
    <row r="279" spans="1:4" ht="15">
      <c r="A279" s="30" t="s">
        <v>1738</v>
      </c>
      <c r="B279" s="53">
        <f>IF(ISTEXT((CADOLIVE!P_2_67.i CADOLIVE!Qté)),0,(CADOLIVE!P_2_67.i CADOLIVE!Qté))</f>
        <v>0</v>
      </c>
      <c r="C279" s="31">
        <f>(CADOLIVE!P_2_67.i CADOLIVE!PU)</f>
        <v>0</v>
      </c>
      <c r="D279" s="31">
        <f>IF(ISTEXT((CADOLIVE!P_2_67.i CADOLIVE!MT)),0,(CADOLIVE!P_2_67.i CADOLIVE!MT))</f>
        <v>0</v>
      </c>
    </row>
    <row r="280" spans="1:4" ht="15">
      <c r="A280" s="30" t="s">
        <v>1739</v>
      </c>
      <c r="B280" s="53">
        <f>IF(ISTEXT((CADOLIVE!P_2_67.j CADOLIVE!Qté)),0,(CADOLIVE!P_2_67.j CADOLIVE!Qté))</f>
        <v>0</v>
      </c>
      <c r="C280" s="31">
        <f>(CADOLIVE!P_2_67.j CADOLIVE!PU)</f>
        <v>0</v>
      </c>
      <c r="D280" s="31">
        <f>IF(ISTEXT((CADOLIVE!P_2_67.j CADOLIVE!MT)),0,(CADOLIVE!P_2_67.j CADOLIVE!MT))</f>
        <v>0</v>
      </c>
    </row>
    <row r="281" spans="1:4" ht="15">
      <c r="A281" s="30" t="s">
        <v>1376</v>
      </c>
      <c r="B281" s="53">
        <f>IF(ISTEXT((CADOLIVE!P_2_67.k CADOLIVE!Qté)),0,(CADOLIVE!P_2_67.k CADOLIVE!Qté))</f>
        <v>0</v>
      </c>
      <c r="C281" s="31">
        <f>(CADOLIVE!P_2_67.k CADOLIVE!PU)</f>
        <v>0</v>
      </c>
      <c r="D281" s="31">
        <f>IF(ISTEXT((CADOLIVE!P_2_67.k CADOLIVE!MT)),0,(CADOLIVE!P_2_67.k CADOLIVE!MT))</f>
        <v>0</v>
      </c>
    </row>
    <row r="282" spans="1:4" ht="15">
      <c r="A282" s="30" t="s">
        <v>1377</v>
      </c>
      <c r="B282" s="53">
        <f>IF(ISTEXT((CADOLIVE!P_2_67.l CADOLIVE!Qté)),0,(CADOLIVE!P_2_67.l CADOLIVE!Qté))</f>
        <v>0</v>
      </c>
      <c r="C282" s="31">
        <f>(CADOLIVE!P_2_67.l CADOLIVE!PU)</f>
        <v>0</v>
      </c>
      <c r="D282" s="31">
        <f>IF(ISTEXT((CADOLIVE!P_2_67.l CADOLIVE!MT)),0,(CADOLIVE!P_2_67.l CADOLIVE!MT))</f>
        <v>0</v>
      </c>
    </row>
    <row r="283" spans="1:4" ht="15">
      <c r="A283" s="30" t="s">
        <v>1378</v>
      </c>
      <c r="B283" s="53">
        <f>IF(ISTEXT((CADOLIVE!P_2_67.m CADOLIVE!Qté)),0,(CADOLIVE!P_2_67.m CADOLIVE!Qté))</f>
        <v>0</v>
      </c>
      <c r="C283" s="31">
        <f>(CADOLIVE!P_2_67.m CADOLIVE!PU)</f>
        <v>0</v>
      </c>
      <c r="D283" s="31">
        <f>IF(ISTEXT((CADOLIVE!P_2_67.m CADOLIVE!MT)),0,(CADOLIVE!P_2_67.m CADOLIVE!MT))</f>
        <v>0</v>
      </c>
    </row>
    <row r="284" spans="1:4" ht="15">
      <c r="A284" s="30" t="s">
        <v>1740</v>
      </c>
      <c r="B284" s="53">
        <f>IF(ISTEXT((CADOLIVE!P_2_68.a CADOLIVE!Qté)),0,(CADOLIVE!P_2_68.a CADOLIVE!Qté))</f>
        <v>0</v>
      </c>
      <c r="C284" s="31">
        <f>(CADOLIVE!P_2_68.a CADOLIVE!PU)</f>
        <v>0</v>
      </c>
      <c r="D284" s="31">
        <f>IF(ISTEXT((CADOLIVE!P_2_68.a CADOLIVE!MT)),0,(CADOLIVE!P_2_68.a CADOLIVE!MT))</f>
        <v>0</v>
      </c>
    </row>
    <row r="285" spans="1:4" ht="15">
      <c r="A285" s="30" t="s">
        <v>1741</v>
      </c>
      <c r="B285" s="53">
        <f>IF(ISTEXT((CADOLIVE!P_2_68.b CADOLIVE!Qté)),0,(CADOLIVE!P_2_68.b CADOLIVE!Qté))</f>
        <v>0</v>
      </c>
      <c r="C285" s="31">
        <f>(CADOLIVE!P_2_68.b CADOLIVE!PU)</f>
        <v>0</v>
      </c>
      <c r="D285" s="31">
        <f>IF(ISTEXT((CADOLIVE!P_2_68.b CADOLIVE!MT)),0,(CADOLIVE!P_2_68.b CADOLIVE!MT))</f>
        <v>0</v>
      </c>
    </row>
    <row r="286" spans="1:4" ht="15">
      <c r="A286" s="30" t="s">
        <v>1742</v>
      </c>
      <c r="B286" s="53">
        <f>IF(ISTEXT((CADOLIVE!P_2_68.c CADOLIVE!Qté)),0,(CADOLIVE!P_2_68.c CADOLIVE!Qté))</f>
        <v>0</v>
      </c>
      <c r="C286" s="31">
        <f>(CADOLIVE!P_2_68.c CADOLIVE!PU)</f>
        <v>0</v>
      </c>
      <c r="D286" s="31">
        <f>IF(ISTEXT((CADOLIVE!P_2_68.c CADOLIVE!MT)),0,(CADOLIVE!P_2_68.c CADOLIVE!MT))</f>
        <v>0</v>
      </c>
    </row>
    <row r="287" spans="1:4" ht="15">
      <c r="A287" s="30" t="s">
        <v>1743</v>
      </c>
      <c r="B287" s="53">
        <f>IF(ISTEXT((CADOLIVE!P_2_68.d CADOLIVE!Qté)),0,(CADOLIVE!P_2_68.d CADOLIVE!Qté))</f>
        <v>0</v>
      </c>
      <c r="C287" s="31">
        <f>(CADOLIVE!P_2_68.d CADOLIVE!PU)</f>
        <v>0</v>
      </c>
      <c r="D287" s="31">
        <f>IF(ISTEXT((CADOLIVE!P_2_68.d CADOLIVE!MT)),0,(CADOLIVE!P_2_68.d CADOLIVE!MT))</f>
        <v>0</v>
      </c>
    </row>
    <row r="288" spans="1:4" ht="15">
      <c r="A288" s="30" t="s">
        <v>1744</v>
      </c>
      <c r="B288" s="53">
        <f>IF(ISTEXT((CADOLIVE!P_2_68.e CADOLIVE!Qté)),0,(CADOLIVE!P_2_68.e CADOLIVE!Qté))</f>
        <v>0</v>
      </c>
      <c r="C288" s="31">
        <f>(CADOLIVE!P_2_68.e CADOLIVE!PU)</f>
        <v>0</v>
      </c>
      <c r="D288" s="31">
        <f>IF(ISTEXT((CADOLIVE!P_2_68.e CADOLIVE!MT)),0,(CADOLIVE!P_2_68.e CADOLIVE!MT))</f>
        <v>0</v>
      </c>
    </row>
    <row r="289" spans="1:4" ht="15">
      <c r="A289" s="30" t="s">
        <v>1745</v>
      </c>
      <c r="B289" s="53">
        <f>IF(ISTEXT((CADOLIVE!P_2_68.f CADOLIVE!Qté)),0,(CADOLIVE!P_2_68.f CADOLIVE!Qté))</f>
        <v>0</v>
      </c>
      <c r="C289" s="31">
        <f>(CADOLIVE!P_2_68.f CADOLIVE!PU)</f>
        <v>0</v>
      </c>
      <c r="D289" s="31">
        <f>IF(ISTEXT((CADOLIVE!P_2_68.f CADOLIVE!MT)),0,(CADOLIVE!P_2_68.f CADOLIVE!MT))</f>
        <v>0</v>
      </c>
    </row>
    <row r="290" spans="1:4" ht="15">
      <c r="A290" s="30" t="s">
        <v>1746</v>
      </c>
      <c r="B290" s="53">
        <f>IF(ISTEXT((CADOLIVE!P_2_69.a CADOLIVE!Qté)),0,(CADOLIVE!P_2_69.a CADOLIVE!Qté))</f>
        <v>0</v>
      </c>
      <c r="C290" s="31">
        <f>(CADOLIVE!P_2_69.a CADOLIVE!PU)</f>
        <v>0</v>
      </c>
      <c r="D290" s="31">
        <f>IF(ISTEXT((CADOLIVE!P_2_69.a CADOLIVE!MT)),0,(CADOLIVE!P_2_69.a CADOLIVE!MT))</f>
        <v>0</v>
      </c>
    </row>
    <row r="291" spans="1:4" ht="15">
      <c r="A291" s="30" t="s">
        <v>1747</v>
      </c>
      <c r="B291" s="53">
        <f>IF(ISTEXT((CADOLIVE!P_2_69.b CADOLIVE!Qté)),0,(CADOLIVE!P_2_69.b CADOLIVE!Qté))</f>
        <v>0</v>
      </c>
      <c r="C291" s="31">
        <f>(CADOLIVE!P_2_69.b CADOLIVE!PU)</f>
        <v>0</v>
      </c>
      <c r="D291" s="31">
        <f>IF(ISTEXT((CADOLIVE!P_2_69.b CADOLIVE!MT)),0,(CADOLIVE!P_2_69.b CADOLIVE!MT))</f>
        <v>0</v>
      </c>
    </row>
    <row r="292" spans="1:4" ht="15">
      <c r="A292" s="30" t="s">
        <v>1748</v>
      </c>
      <c r="B292" s="53">
        <f>IF(ISTEXT((CADOLIVE!P_2_70.a CADOLIVE!Qté)),0,(CADOLIVE!P_2_70.a CADOLIVE!Qté))</f>
        <v>0</v>
      </c>
      <c r="C292" s="31">
        <f>(CADOLIVE!P_2_70.a CADOLIVE!PU)</f>
        <v>0</v>
      </c>
      <c r="D292" s="31">
        <f>IF(ISTEXT((CADOLIVE!P_2_70.a CADOLIVE!MT)),0,(CADOLIVE!P_2_70.a CADOLIVE!MT))</f>
        <v>0</v>
      </c>
    </row>
    <row r="293" spans="1:4" ht="15">
      <c r="A293" s="30" t="s">
        <v>1749</v>
      </c>
      <c r="B293" s="53">
        <f>IF(ISTEXT((CADOLIVE!P_2_70.b CADOLIVE!Qté)),0,(CADOLIVE!P_2_70.b CADOLIVE!Qté))</f>
        <v>0</v>
      </c>
      <c r="C293" s="31">
        <f>(CADOLIVE!P_2_70.b CADOLIVE!PU)</f>
        <v>0</v>
      </c>
      <c r="D293" s="31">
        <f>IF(ISTEXT((CADOLIVE!P_2_70.b CADOLIVE!MT)),0,(CADOLIVE!P_2_70.b CADOLIVE!MT))</f>
        <v>0</v>
      </c>
    </row>
    <row r="294" spans="1:4" ht="15">
      <c r="A294" s="30" t="s">
        <v>1750</v>
      </c>
      <c r="B294" s="53">
        <f>IF(ISTEXT((CADOLIVE!P_2_71.a CADOLIVE!Qté)),0,(CADOLIVE!P_2_71.a CADOLIVE!Qté))</f>
        <v>0</v>
      </c>
      <c r="C294" s="31">
        <f>(CADOLIVE!P_2_71.a CADOLIVE!PU)</f>
        <v>0</v>
      </c>
      <c r="D294" s="31">
        <f>IF(ISTEXT((CADOLIVE!P_2_71.a CADOLIVE!MT)),0,(CADOLIVE!P_2_71.a CADOLIVE!MT))</f>
        <v>0</v>
      </c>
    </row>
    <row r="295" spans="1:4" ht="15">
      <c r="A295" s="30" t="s">
        <v>1751</v>
      </c>
      <c r="B295" s="53">
        <f>IF(ISTEXT((CADOLIVE!P_2_71.b CADOLIVE!Qté)),0,(CADOLIVE!P_2_71.b CADOLIVE!Qté))</f>
        <v>0</v>
      </c>
      <c r="C295" s="31">
        <f>(CADOLIVE!P_2_71.b CADOLIVE!PU)</f>
        <v>0</v>
      </c>
      <c r="D295" s="31">
        <f>IF(ISTEXT((CADOLIVE!P_2_71.b CADOLIVE!MT)),0,(CADOLIVE!P_2_71.b CADOLIVE!MT))</f>
        <v>0</v>
      </c>
    </row>
    <row r="296" spans="1:4" ht="15">
      <c r="A296" s="30" t="s">
        <v>1752</v>
      </c>
      <c r="B296" s="53">
        <f>IF(ISTEXT((CADOLIVE!P_2_71.c CADOLIVE!Qté)),0,(CADOLIVE!P_2_71.c CADOLIVE!Qté))</f>
        <v>0</v>
      </c>
      <c r="C296" s="31">
        <f>(CADOLIVE!P_2_71.c CADOLIVE!PU)</f>
        <v>0</v>
      </c>
      <c r="D296" s="31">
        <f>IF(ISTEXT((CADOLIVE!P_2_71.c CADOLIVE!MT)),0,(CADOLIVE!P_2_71.c CADOLIVE!MT))</f>
        <v>0</v>
      </c>
    </row>
    <row r="297" spans="1:4" ht="15">
      <c r="A297" s="30" t="s">
        <v>1242</v>
      </c>
      <c r="B297" s="53">
        <f>IF(ISTEXT((CADOLIVE!P_2_71.d CADOLIVE!Qté)),0,(CADOLIVE!P_2_71.d CADOLIVE!Qté))</f>
        <v>0</v>
      </c>
      <c r="C297" s="31">
        <f>(CADOLIVE!P_2_71.d CADOLIVE!PU)</f>
        <v>0</v>
      </c>
      <c r="D297" s="31">
        <f>IF(ISTEXT((CADOLIVE!P_2_71.d CADOLIVE!MT)),0,(CADOLIVE!P_2_71.d CADOLIVE!MT))</f>
        <v>0</v>
      </c>
    </row>
    <row r="298" spans="1:4" ht="15">
      <c r="A298" s="30" t="s">
        <v>1753</v>
      </c>
      <c r="B298" s="53">
        <f>IF(ISTEXT((CADOLIVE!P_2_71.e CADOLIVE!Qté)),0,(CADOLIVE!P_2_71.e CADOLIVE!Qté))</f>
        <v>0</v>
      </c>
      <c r="C298" s="31">
        <f>(CADOLIVE!P_2_71.e CADOLIVE!PU)</f>
        <v>0</v>
      </c>
      <c r="D298" s="31">
        <f>IF(ISTEXT((CADOLIVE!P_2_71.e CADOLIVE!MT)),0,(CADOLIVE!P_2_71.e CADOLIVE!MT))</f>
        <v>0</v>
      </c>
    </row>
    <row r="299" spans="1:4" ht="15">
      <c r="A299" s="30" t="s">
        <v>1754</v>
      </c>
      <c r="B299" s="53">
        <f>IF(ISTEXT((CADOLIVE!P_2_72.a CADOLIVE!Qté)),0,(CADOLIVE!P_2_72.a CADOLIVE!Qté))</f>
        <v>0</v>
      </c>
      <c r="C299" s="31">
        <f>(CADOLIVE!P_2_72.a CADOLIVE!PU)</f>
        <v>0</v>
      </c>
      <c r="D299" s="31">
        <f>IF(ISTEXT((CADOLIVE!P_2_72.a CADOLIVE!MT)),0,(CADOLIVE!P_2_72.a CADOLIVE!MT))</f>
        <v>0</v>
      </c>
    </row>
    <row r="300" spans="1:4" ht="15">
      <c r="A300" s="30" t="s">
        <v>1755</v>
      </c>
      <c r="B300" s="53">
        <f>IF(ISTEXT((CADOLIVE!P_2_72.b CADOLIVE!Qté)),0,(CADOLIVE!P_2_72.b CADOLIVE!Qté))</f>
        <v>0</v>
      </c>
      <c r="C300" s="31">
        <f>(CADOLIVE!P_2_72.b CADOLIVE!PU)</f>
        <v>0</v>
      </c>
      <c r="D300" s="31">
        <f>IF(ISTEXT((CADOLIVE!P_2_72.b CADOLIVE!MT)),0,(CADOLIVE!P_2_72.b CADOLIVE!MT))</f>
        <v>0</v>
      </c>
    </row>
    <row r="301" spans="1:4" ht="15">
      <c r="A301" s="30" t="s">
        <v>978</v>
      </c>
      <c r="B301" s="53">
        <f>IF(ISTEXT((CADOLIVE!P_2_73 CADOLIVE!Qté)),0,(CADOLIVE!P_2_73 CADOLIVE!Qté))</f>
        <v>0</v>
      </c>
      <c r="C301" s="31">
        <f>(CADOLIVE!P_2_73 CADOLIVE!PU)</f>
        <v>0</v>
      </c>
      <c r="D301" s="31">
        <f>IF(ISTEXT((CADOLIVE!P_2_73 CADOLIVE!MT)),0,(CADOLIVE!P_2_73 CADOLIVE!MT))</f>
        <v>0</v>
      </c>
    </row>
    <row r="302" spans="1:4" ht="15">
      <c r="A302" s="30" t="s">
        <v>1756</v>
      </c>
      <c r="B302" s="53">
        <f>IF(ISTEXT((CADOLIVE!P_2_74.a CADOLIVE!Qté)),0,(CADOLIVE!P_2_74.a CADOLIVE!Qté))</f>
        <v>0</v>
      </c>
      <c r="C302" s="31">
        <f>(CADOLIVE!P_2_74.a CADOLIVE!PU)</f>
        <v>0</v>
      </c>
      <c r="D302" s="31">
        <f>IF(ISTEXT((CADOLIVE!P_2_74.a CADOLIVE!MT)),0,(CADOLIVE!P_2_74.a CADOLIVE!MT))</f>
        <v>0</v>
      </c>
    </row>
    <row r="303" spans="1:4" ht="15">
      <c r="A303" s="30" t="s">
        <v>1757</v>
      </c>
      <c r="B303" s="53">
        <f>IF(ISTEXT((CADOLIVE!P_2_74.b CADOLIVE!Qté)),0,(CADOLIVE!P_2_74.b CADOLIVE!Qté))</f>
        <v>0</v>
      </c>
      <c r="C303" s="31">
        <f>(CADOLIVE!P_2_74.b CADOLIVE!PU)</f>
        <v>0</v>
      </c>
      <c r="D303" s="31">
        <f>IF(ISTEXT((CADOLIVE!P_2_74.b CADOLIVE!MT)),0,(CADOLIVE!P_2_74.b CADOLIVE!MT))</f>
        <v>0</v>
      </c>
    </row>
    <row r="304" spans="1:4" ht="15">
      <c r="A304" s="30" t="s">
        <v>1758</v>
      </c>
      <c r="B304" s="53">
        <f>IF(ISTEXT((CADOLIVE!P_2_74.c CADOLIVE!Qté)),0,(CADOLIVE!P_2_74.c CADOLIVE!Qté))</f>
        <v>0</v>
      </c>
      <c r="C304" s="31">
        <f>(CADOLIVE!P_2_74.c CADOLIVE!PU)</f>
        <v>0</v>
      </c>
      <c r="D304" s="31">
        <f>IF(ISTEXT((CADOLIVE!P_2_74.c CADOLIVE!MT)),0,(CADOLIVE!P_2_74.c CADOLIVE!MT))</f>
        <v>0</v>
      </c>
    </row>
    <row r="305" spans="1:4" ht="15">
      <c r="A305" s="30" t="s">
        <v>1759</v>
      </c>
      <c r="B305" s="53">
        <f>IF(ISTEXT((CADOLIVE!P_2_75.a CADOLIVE!Qté)),0,(CADOLIVE!P_2_75.a CADOLIVE!Qté))</f>
        <v>0</v>
      </c>
      <c r="C305" s="31">
        <f>(CADOLIVE!P_2_75.a CADOLIVE!PU)</f>
        <v>0</v>
      </c>
      <c r="D305" s="31">
        <f>IF(ISTEXT((CADOLIVE!P_2_75.a CADOLIVE!MT)),0,(CADOLIVE!P_2_75.a CADOLIVE!MT))</f>
        <v>0</v>
      </c>
    </row>
    <row r="306" spans="1:4" ht="15">
      <c r="A306" s="30" t="s">
        <v>1760</v>
      </c>
      <c r="B306" s="53">
        <f>IF(ISTEXT((CADOLIVE!P_2_75.b CADOLIVE!Qté)),0,(CADOLIVE!P_2_75.b CADOLIVE!Qté))</f>
        <v>0</v>
      </c>
      <c r="C306" s="31">
        <f>(CADOLIVE!P_2_75.b CADOLIVE!PU)</f>
        <v>0</v>
      </c>
      <c r="D306" s="31">
        <f>IF(ISTEXT((CADOLIVE!P_2_75.b CADOLIVE!MT)),0,(CADOLIVE!P_2_75.b CADOLIVE!MT))</f>
        <v>0</v>
      </c>
    </row>
    <row r="307" spans="1:4" ht="15">
      <c r="A307" s="30" t="s">
        <v>1761</v>
      </c>
      <c r="B307" s="53">
        <f>IF(ISTEXT((CADOLIVE!P_2_75.c CADOLIVE!Qté)),0,(CADOLIVE!P_2_75.c CADOLIVE!Qté))</f>
        <v>0</v>
      </c>
      <c r="C307" s="31">
        <f>(CADOLIVE!P_2_75.c CADOLIVE!PU)</f>
        <v>0</v>
      </c>
      <c r="D307" s="31">
        <f>IF(ISTEXT((CADOLIVE!P_2_75.c CADOLIVE!MT)),0,(CADOLIVE!P_2_75.c CADOLIVE!MT))</f>
        <v>0</v>
      </c>
    </row>
    <row r="308" spans="1:4" ht="15">
      <c r="A308" s="30" t="s">
        <v>1762</v>
      </c>
      <c r="B308" s="53">
        <f>IF(ISTEXT((CADOLIVE!P_2_76.a CADOLIVE!Qté)),0,(CADOLIVE!P_2_76.a CADOLIVE!Qté))</f>
        <v>0</v>
      </c>
      <c r="C308" s="31">
        <f>(CADOLIVE!P_2_76.a CADOLIVE!PU)</f>
        <v>0</v>
      </c>
      <c r="D308" s="31">
        <f>IF(ISTEXT((CADOLIVE!P_2_76.a CADOLIVE!MT)),0,(CADOLIVE!P_2_76.a CADOLIVE!MT))</f>
        <v>0</v>
      </c>
    </row>
    <row r="309" spans="1:4" ht="15">
      <c r="A309" s="30" t="s">
        <v>1763</v>
      </c>
      <c r="B309" s="53">
        <f>IF(ISTEXT((CADOLIVE!P_2_76.b CADOLIVE!Qté)),0,(CADOLIVE!P_2_76.b CADOLIVE!Qté))</f>
        <v>0</v>
      </c>
      <c r="C309" s="31">
        <f>(CADOLIVE!P_2_76.b CADOLIVE!PU)</f>
        <v>0</v>
      </c>
      <c r="D309" s="31">
        <f>IF(ISTEXT((CADOLIVE!P_2_76.b CADOLIVE!MT)),0,(CADOLIVE!P_2_76.b CADOLIVE!MT))</f>
        <v>0</v>
      </c>
    </row>
    <row r="310" spans="1:4" ht="15">
      <c r="A310" s="30" t="s">
        <v>1764</v>
      </c>
      <c r="B310" s="53">
        <f>IF(ISTEXT((CADOLIVE!P_2_77.a CADOLIVE!Qté)),0,(CADOLIVE!P_2_77.a CADOLIVE!Qté))</f>
        <v>0</v>
      </c>
      <c r="C310" s="31">
        <f>(CADOLIVE!P_2_77.a CADOLIVE!PU)</f>
        <v>0</v>
      </c>
      <c r="D310" s="31">
        <f>IF(ISTEXT((CADOLIVE!P_2_77.a CADOLIVE!MT)),0,(CADOLIVE!P_2_77.a CADOLIVE!MT))</f>
        <v>0</v>
      </c>
    </row>
    <row r="311" spans="1:4" ht="15">
      <c r="A311" s="30" t="s">
        <v>1765</v>
      </c>
      <c r="B311" s="53">
        <f>IF(ISTEXT((CADOLIVE!P_2_77.b CADOLIVE!Qté)),0,(CADOLIVE!P_2_77.b CADOLIVE!Qté))</f>
        <v>0</v>
      </c>
      <c r="C311" s="31">
        <f>(CADOLIVE!P_2_77.b CADOLIVE!PU)</f>
        <v>0</v>
      </c>
      <c r="D311" s="31">
        <f>IF(ISTEXT((CADOLIVE!P_2_77.b CADOLIVE!MT)),0,(CADOLIVE!P_2_77.b CADOLIVE!MT))</f>
        <v>0</v>
      </c>
    </row>
    <row r="312" spans="1:4" ht="15">
      <c r="A312" s="30" t="s">
        <v>1766</v>
      </c>
      <c r="B312" s="53">
        <f>IF(ISTEXT((CADOLIVE!P_2_77.c CADOLIVE!Qté)),0,(CADOLIVE!P_2_77.c CADOLIVE!Qté))</f>
        <v>0</v>
      </c>
      <c r="C312" s="31">
        <f>(CADOLIVE!P_2_77.c CADOLIVE!PU)</f>
        <v>0</v>
      </c>
      <c r="D312" s="31">
        <f>IF(ISTEXT((CADOLIVE!P_2_77.c CADOLIVE!MT)),0,(CADOLIVE!P_2_77.c CADOLIVE!MT))</f>
        <v>0</v>
      </c>
    </row>
    <row r="313" spans="1:4" ht="15">
      <c r="A313" s="30" t="s">
        <v>983</v>
      </c>
      <c r="B313" s="53">
        <f>IF(ISTEXT((CADOLIVE!P_2_78 CADOLIVE!Qté)),0,(CADOLIVE!P_2_78 CADOLIVE!Qté))</f>
        <v>0</v>
      </c>
      <c r="C313" s="31">
        <f>(CADOLIVE!P_2_78 CADOLIVE!PU)</f>
        <v>0</v>
      </c>
      <c r="D313" s="31">
        <f>IF(ISTEXT((CADOLIVE!P_2_78 CADOLIVE!MT)),0,(CADOLIVE!P_2_78 CADOLIVE!MT))</f>
        <v>0</v>
      </c>
    </row>
    <row r="314" spans="1:4" ht="15">
      <c r="A314" s="30" t="s">
        <v>1767</v>
      </c>
      <c r="B314" s="53">
        <f>IF(ISTEXT((CADOLIVE!P_2_79.a CADOLIVE!Qté)),0,(CADOLIVE!P_2_79.a CADOLIVE!Qté))</f>
        <v>0</v>
      </c>
      <c r="C314" s="31">
        <f>(CADOLIVE!P_2_79.a CADOLIVE!PU)</f>
        <v>0</v>
      </c>
      <c r="D314" s="31">
        <f>IF(ISTEXT((CADOLIVE!P_2_79.a CADOLIVE!MT)),0,(CADOLIVE!P_2_79.a CADOLIVE!MT))</f>
        <v>0</v>
      </c>
    </row>
    <row r="315" spans="1:4" ht="15">
      <c r="A315" s="30" t="s">
        <v>1768</v>
      </c>
      <c r="B315" s="53">
        <f>IF(ISTEXT((CADOLIVE!P_2_79.b CADOLIVE!Qté)),0,(CADOLIVE!P_2_79.b CADOLIVE!Qté))</f>
        <v>0</v>
      </c>
      <c r="C315" s="31">
        <f>(CADOLIVE!P_2_79.b CADOLIVE!PU)</f>
        <v>0</v>
      </c>
      <c r="D315" s="31">
        <f>IF(ISTEXT((CADOLIVE!P_2_79.b CADOLIVE!MT)),0,(CADOLIVE!P_2_79.b CADOLIVE!MT))</f>
        <v>0</v>
      </c>
    </row>
    <row r="316" spans="1:4" ht="15">
      <c r="A316" s="30" t="s">
        <v>1769</v>
      </c>
      <c r="B316" s="53">
        <f>IF(ISTEXT((CADOLIVE!P_2_80.a CADOLIVE!Qté)),0,(CADOLIVE!P_2_80.a CADOLIVE!Qté))</f>
        <v>0</v>
      </c>
      <c r="C316" s="31">
        <f>(CADOLIVE!P_2_80.a CADOLIVE!PU)</f>
        <v>0</v>
      </c>
      <c r="D316" s="31">
        <f>IF(ISTEXT((CADOLIVE!P_2_80.a CADOLIVE!MT)),0,(CADOLIVE!P_2_80.a CADOLIVE!MT))</f>
        <v>0</v>
      </c>
    </row>
    <row r="317" spans="1:4" ht="15">
      <c r="A317" s="30" t="s">
        <v>1770</v>
      </c>
      <c r="B317" s="53">
        <f>IF(ISTEXT((CADOLIVE!P_2_80.b CADOLIVE!Qté)),0,(CADOLIVE!P_2_80.b CADOLIVE!Qté))</f>
        <v>0</v>
      </c>
      <c r="C317" s="31">
        <f>(CADOLIVE!P_2_80.b CADOLIVE!PU)</f>
        <v>0</v>
      </c>
      <c r="D317" s="31">
        <f>IF(ISTEXT((CADOLIVE!P_2_80.b CADOLIVE!MT)),0,(CADOLIVE!P_2_80.b CADOLIVE!MT))</f>
        <v>0</v>
      </c>
    </row>
    <row r="318" spans="1:4" ht="15">
      <c r="A318" s="30" t="s">
        <v>1771</v>
      </c>
      <c r="B318" s="53">
        <f>IF(ISTEXT((CADOLIVE!P_2_81.a CADOLIVE!Qté)),0,(CADOLIVE!P_2_81.a CADOLIVE!Qté))</f>
        <v>0</v>
      </c>
      <c r="C318" s="31">
        <f>(CADOLIVE!P_2_81.a CADOLIVE!PU)</f>
        <v>0</v>
      </c>
      <c r="D318" s="31">
        <f>IF(ISTEXT((CADOLIVE!P_2_81.a CADOLIVE!MT)),0,(CADOLIVE!P_2_81.a CADOLIVE!MT))</f>
        <v>0</v>
      </c>
    </row>
    <row r="319" spans="1:4" ht="15">
      <c r="A319" s="30" t="s">
        <v>1772</v>
      </c>
      <c r="B319" s="53">
        <f>IF(ISTEXT((CADOLIVE!P_2_81.b CADOLIVE!Qté)),0,(CADOLIVE!P_2_81.b CADOLIVE!Qté))</f>
        <v>0</v>
      </c>
      <c r="C319" s="31">
        <f>(CADOLIVE!P_2_81.b CADOLIVE!PU)</f>
        <v>0</v>
      </c>
      <c r="D319" s="31">
        <f>IF(ISTEXT((CADOLIVE!P_2_81.b CADOLIVE!MT)),0,(CADOLIVE!P_2_81.b CADOLIVE!MT))</f>
        <v>0</v>
      </c>
    </row>
    <row r="320" spans="1:4" ht="15">
      <c r="A320" s="30" t="s">
        <v>987</v>
      </c>
      <c r="B320" s="53">
        <f>IF(ISTEXT((CADOLIVE!P_2_82 CADOLIVE!Qté)),0,(CADOLIVE!P_2_82 CADOLIVE!Qté))</f>
        <v>0</v>
      </c>
      <c r="C320" s="31">
        <f>(CADOLIVE!P_2_82 CADOLIVE!PU)</f>
        <v>0</v>
      </c>
      <c r="D320" s="31">
        <f>IF(ISTEXT((CADOLIVE!P_2_82 CADOLIVE!MT)),0,(CADOLIVE!P_2_82 CADOLIVE!MT))</f>
        <v>0</v>
      </c>
    </row>
    <row r="321" spans="1:4" ht="15">
      <c r="A321" s="30" t="s">
        <v>1773</v>
      </c>
      <c r="B321" s="53">
        <f>IF(ISTEXT((CADOLIVE!P_2_83.a CADOLIVE!Qté)),0,(CADOLIVE!P_2_83.a CADOLIVE!Qté))</f>
        <v>0</v>
      </c>
      <c r="C321" s="31">
        <f>(CADOLIVE!P_2_83.a CADOLIVE!PU)</f>
        <v>0</v>
      </c>
      <c r="D321" s="31">
        <f>IF(ISTEXT((CADOLIVE!P_2_83.a CADOLIVE!MT)),0,(CADOLIVE!P_2_83.a CADOLIVE!MT))</f>
        <v>0</v>
      </c>
    </row>
    <row r="322" spans="1:4" ht="15">
      <c r="A322" s="30" t="s">
        <v>1774</v>
      </c>
      <c r="B322" s="53">
        <f>IF(ISTEXT((CADOLIVE!P_2_83.b CADOLIVE!Qté)),0,(CADOLIVE!P_2_83.b CADOLIVE!Qté))</f>
        <v>0</v>
      </c>
      <c r="C322" s="31">
        <f>(CADOLIVE!P_2_83.b CADOLIVE!PU)</f>
        <v>0</v>
      </c>
      <c r="D322" s="31">
        <f>IF(ISTEXT((CADOLIVE!P_2_83.b CADOLIVE!MT)),0,(CADOLIVE!P_2_83.b CADOLIVE!MT))</f>
        <v>0</v>
      </c>
    </row>
    <row r="323" spans="1:4" ht="15">
      <c r="A323" s="30" t="s">
        <v>1775</v>
      </c>
      <c r="B323" s="53">
        <f>IF(ISTEXT((CADOLIVE!P_2_83.c CADOLIVE!Qté)),0,(CADOLIVE!P_2_83.c CADOLIVE!Qté))</f>
        <v>0</v>
      </c>
      <c r="C323" s="31">
        <f>(CADOLIVE!P_2_83.c CADOLIVE!PU)</f>
        <v>0</v>
      </c>
      <c r="D323" s="31">
        <f>IF(ISTEXT((CADOLIVE!P_2_83.c CADOLIVE!MT)),0,(CADOLIVE!P_2_83.c CADOLIVE!MT))</f>
        <v>0</v>
      </c>
    </row>
    <row r="324" spans="1:4" ht="15">
      <c r="A324" s="30" t="s">
        <v>1776</v>
      </c>
      <c r="B324" s="53">
        <f>IF(ISTEXT((CADOLIVE!P_2_83.d CADOLIVE!Qté)),0,(CADOLIVE!P_2_83.d CADOLIVE!Qté))</f>
        <v>0</v>
      </c>
      <c r="C324" s="31">
        <f>(CADOLIVE!P_2_83.d CADOLIVE!PU)</f>
        <v>0</v>
      </c>
      <c r="D324" s="31">
        <f>IF(ISTEXT((CADOLIVE!P_2_83.d CADOLIVE!MT)),0,(CADOLIVE!P_2_83.d CADOLIVE!MT))</f>
        <v>0</v>
      </c>
    </row>
    <row r="325" spans="1:4" ht="15">
      <c r="A325" s="30" t="s">
        <v>1777</v>
      </c>
      <c r="B325" s="53">
        <f>IF(ISTEXT((CADOLIVE!P_2_83.e CADOLIVE!Qté)),0,(CADOLIVE!P_2_83.e CADOLIVE!Qté))</f>
        <v>0</v>
      </c>
      <c r="C325" s="31">
        <f>(CADOLIVE!P_2_83.e CADOLIVE!PU)</f>
        <v>0</v>
      </c>
      <c r="D325" s="31">
        <f>IF(ISTEXT((CADOLIVE!P_2_83.e CADOLIVE!MT)),0,(CADOLIVE!P_2_83.e CADOLIVE!MT))</f>
        <v>0</v>
      </c>
    </row>
    <row r="326" spans="1:4" ht="15">
      <c r="A326" s="30" t="s">
        <v>989</v>
      </c>
      <c r="B326" s="53">
        <f>IF(ISTEXT((CADOLIVE!P_2_84 CADOLIVE!Qté)),0,(CADOLIVE!P_2_84 CADOLIVE!Qté))</f>
        <v>0</v>
      </c>
      <c r="C326" s="31">
        <f>(CADOLIVE!P_2_84 CADOLIVE!PU)</f>
        <v>0</v>
      </c>
      <c r="D326" s="31">
        <f>IF(ISTEXT((CADOLIVE!P_2_84 CADOLIVE!MT)),0,(CADOLIVE!P_2_84 CADOLIVE!MT))</f>
        <v>0</v>
      </c>
    </row>
    <row r="327" spans="1:4" ht="15">
      <c r="A327" s="30" t="s">
        <v>990</v>
      </c>
      <c r="B327" s="53">
        <f>IF(ISTEXT((CADOLIVE!P_2_85 CADOLIVE!Qté)),0,(CADOLIVE!P_2_85 CADOLIVE!Qté))</f>
        <v>0</v>
      </c>
      <c r="C327" s="31">
        <f>(CADOLIVE!P_2_85 CADOLIVE!PU)</f>
        <v>0</v>
      </c>
      <c r="D327" s="31">
        <f>IF(ISTEXT((CADOLIVE!P_2_85 CADOLIVE!MT)),0,(CADOLIVE!P_2_85 CADOLIVE!MT))</f>
        <v>0</v>
      </c>
    </row>
    <row r="328" spans="1:4" ht="15">
      <c r="A328" s="30" t="s">
        <v>991</v>
      </c>
      <c r="B328" s="53">
        <f>IF(ISTEXT((CADOLIVE!P_2_86 CADOLIVE!Qté)),0,(CADOLIVE!P_2_86 CADOLIVE!Qté))</f>
        <v>0</v>
      </c>
      <c r="C328" s="31">
        <f>(CADOLIVE!P_2_86 CADOLIVE!PU)</f>
        <v>0</v>
      </c>
      <c r="D328" s="31">
        <f>IF(ISTEXT((CADOLIVE!P_2_86 CADOLIVE!MT)),0,(CADOLIVE!P_2_86 CADOLIVE!MT))</f>
        <v>0</v>
      </c>
    </row>
    <row r="329" spans="1:4" ht="15">
      <c r="A329" s="30" t="s">
        <v>992</v>
      </c>
      <c r="B329" s="53">
        <f>IF(ISTEXT((CADOLIVE!P_2_87 CADOLIVE!Qté)),0,(CADOLIVE!P_2_87 CADOLIVE!Qté))</f>
        <v>0</v>
      </c>
      <c r="C329" s="31">
        <f>(CADOLIVE!P_2_87 CADOLIVE!PU)</f>
        <v>0</v>
      </c>
      <c r="D329" s="31">
        <f>IF(ISTEXT((CADOLIVE!P_2_87 CADOLIVE!MT)),0,(CADOLIVE!P_2_87 CADOLIVE!MT))</f>
        <v>0</v>
      </c>
    </row>
    <row r="330" spans="1:4" ht="15">
      <c r="A330" s="30" t="s">
        <v>993</v>
      </c>
      <c r="B330" s="53">
        <f>IF(ISTEXT((CADOLIVE!P_2_88 CADOLIVE!Qté)),0,(CADOLIVE!P_2_88 CADOLIVE!Qté))</f>
        <v>0</v>
      </c>
      <c r="C330" s="31">
        <f>(CADOLIVE!P_2_88 CADOLIVE!PU)</f>
        <v>0</v>
      </c>
      <c r="D330" s="31">
        <f>IF(ISTEXT((CADOLIVE!P_2_88 CADOLIVE!MT)),0,(CADOLIVE!P_2_88 CADOLIVE!MT))</f>
        <v>0</v>
      </c>
    </row>
    <row r="331" spans="1:4" ht="15">
      <c r="A331" s="30" t="s">
        <v>994</v>
      </c>
      <c r="B331" s="53">
        <f>IF(ISTEXT((CADOLIVE!P_2_89 CADOLIVE!Qté)),0,(CADOLIVE!P_2_89 CADOLIVE!Qté))</f>
        <v>0</v>
      </c>
      <c r="C331" s="31">
        <f>(CADOLIVE!P_2_89 CADOLIVE!PU)</f>
        <v>0</v>
      </c>
      <c r="D331" s="31">
        <f>IF(ISTEXT((CADOLIVE!P_2_89 CADOLIVE!MT)),0,(CADOLIVE!P_2_89 CADOLIVE!MT))</f>
        <v>0</v>
      </c>
    </row>
    <row r="332" spans="1:4" ht="15">
      <c r="A332" s="30" t="s">
        <v>995</v>
      </c>
      <c r="B332" s="53">
        <f>IF(ISTEXT((CADOLIVE!P_2_90 CADOLIVE!Qté)),0,(CADOLIVE!P_2_90 CADOLIVE!Qté))</f>
        <v>0</v>
      </c>
      <c r="C332" s="31">
        <f>(CADOLIVE!P_2_90 CADOLIVE!PU)</f>
        <v>0</v>
      </c>
      <c r="D332" s="31">
        <f>IF(ISTEXT((CADOLIVE!P_2_90 CADOLIVE!MT)),0,(CADOLIVE!P_2_90 CADOLIVE!MT))</f>
        <v>0</v>
      </c>
    </row>
    <row r="333" spans="1:4" ht="15">
      <c r="A333" s="30" t="s">
        <v>996</v>
      </c>
      <c r="B333" s="53">
        <f>IF(ISTEXT((CADOLIVE!P_2_91 CADOLIVE!Qté)),0,(CADOLIVE!P_2_91 CADOLIVE!Qté))</f>
        <v>0</v>
      </c>
      <c r="C333" s="31">
        <f>(CADOLIVE!P_2_91 CADOLIVE!PU)</f>
        <v>0</v>
      </c>
      <c r="D333" s="31">
        <f>IF(ISTEXT((CADOLIVE!P_2_91 CADOLIVE!MT)),0,(CADOLIVE!P_2_91 CADOLIVE!MT))</f>
        <v>0</v>
      </c>
    </row>
    <row r="334" spans="1:4" ht="15">
      <c r="A334" s="30" t="s">
        <v>997</v>
      </c>
      <c r="B334" s="53">
        <f>IF(ISTEXT((CADOLIVE!P_2_92 CADOLIVE!Qté)),0,(CADOLIVE!P_2_92 CADOLIVE!Qté))</f>
        <v>0</v>
      </c>
      <c r="C334" s="31">
        <f>(CADOLIVE!P_2_92 CADOLIVE!PU)</f>
        <v>0</v>
      </c>
      <c r="D334" s="31">
        <f>IF(ISTEXT((CADOLIVE!P_2_92 CADOLIVE!MT)),0,(CADOLIVE!P_2_92 CADOLIVE!MT))</f>
        <v>0</v>
      </c>
    </row>
    <row r="335" spans="1:4" ht="15">
      <c r="A335" s="30" t="s">
        <v>998</v>
      </c>
      <c r="B335" s="53">
        <f>IF(ISTEXT((CADOLIVE!P_2_93 CADOLIVE!Qté)),0,(CADOLIVE!P_2_93 CADOLIVE!Qté))</f>
        <v>0</v>
      </c>
      <c r="C335" s="31">
        <f>(CADOLIVE!P_2_93 CADOLIVE!PU)</f>
        <v>0</v>
      </c>
      <c r="D335" s="31">
        <f>IF(ISTEXT((CADOLIVE!P_2_93 CADOLIVE!MT)),0,(CADOLIVE!P_2_93 CADOLIVE!MT))</f>
        <v>0</v>
      </c>
    </row>
    <row r="336" spans="1:4" ht="15">
      <c r="A336" s="30" t="s">
        <v>1778</v>
      </c>
      <c r="B336" s="53">
        <f>IF(ISTEXT((CADOLIVE!P_2_94.a CADOLIVE!Qté)),0,(CADOLIVE!P_2_94.a CADOLIVE!Qté))</f>
        <v>0</v>
      </c>
      <c r="C336" s="31">
        <f>(CADOLIVE!P_2_94.a CADOLIVE!PU)</f>
        <v>0</v>
      </c>
      <c r="D336" s="31">
        <f>IF(ISTEXT((CADOLIVE!P_2_94.a CADOLIVE!MT)),0,(CADOLIVE!P_2_94.a CADOLIVE!MT))</f>
        <v>0</v>
      </c>
    </row>
    <row r="337" spans="1:4" ht="15">
      <c r="A337" s="30" t="s">
        <v>1779</v>
      </c>
      <c r="B337" s="53">
        <f>IF(ISTEXT((CADOLIVE!P_2_94.b CADOLIVE!Qté)),0,(CADOLIVE!P_2_94.b CADOLIVE!Qté))</f>
        <v>0</v>
      </c>
      <c r="C337" s="31">
        <f>(CADOLIVE!P_2_94.b CADOLIVE!PU)</f>
        <v>0</v>
      </c>
      <c r="D337" s="31">
        <f>IF(ISTEXT((CADOLIVE!P_2_94.b CADOLIVE!MT)),0,(CADOLIVE!P_2_94.b CADOLIVE!MT))</f>
        <v>0</v>
      </c>
    </row>
    <row r="338" spans="1:4" ht="15">
      <c r="A338" s="30" t="s">
        <v>1780</v>
      </c>
      <c r="B338" s="53">
        <f>IF(ISTEXT((CADOLIVE!P_2_94.c CADOLIVE!Qté)),0,(CADOLIVE!P_2_94.c CADOLIVE!Qté))</f>
        <v>0</v>
      </c>
      <c r="C338" s="31">
        <f>(CADOLIVE!P_2_94.c CADOLIVE!PU)</f>
        <v>0</v>
      </c>
      <c r="D338" s="31">
        <f>IF(ISTEXT((CADOLIVE!P_2_94.c CADOLIVE!MT)),0,(CADOLIVE!P_2_94.c CADOLIVE!MT))</f>
        <v>0</v>
      </c>
    </row>
    <row r="339" spans="1:4" ht="15">
      <c r="A339" s="30" t="s">
        <v>1781</v>
      </c>
      <c r="B339" s="53">
        <f>IF(ISTEXT((CADOLIVE!P_2_94.d CADOLIVE!Qté)),0,(CADOLIVE!P_2_94.d CADOLIVE!Qté))</f>
        <v>0</v>
      </c>
      <c r="C339" s="31">
        <f>(CADOLIVE!P_2_94.d CADOLIVE!PU)</f>
        <v>0</v>
      </c>
      <c r="D339" s="31">
        <f>IF(ISTEXT((CADOLIVE!P_2_94.d CADOLIVE!MT)),0,(CADOLIVE!P_2_94.d CADOLIVE!MT))</f>
        <v>0</v>
      </c>
    </row>
    <row r="340" spans="1:4" ht="15">
      <c r="A340" s="30" t="s">
        <v>1782</v>
      </c>
      <c r="B340" s="53">
        <f>IF(ISTEXT((CADOLIVE!P_2_94.e CADOLIVE!Qté)),0,(CADOLIVE!P_2_94.e CADOLIVE!Qté))</f>
        <v>0</v>
      </c>
      <c r="C340" s="31">
        <f>(CADOLIVE!P_2_94.e CADOLIVE!PU)</f>
        <v>0</v>
      </c>
      <c r="D340" s="31">
        <f>IF(ISTEXT((CADOLIVE!P_2_94.e CADOLIVE!MT)),0,(CADOLIVE!P_2_94.e CADOLIVE!MT))</f>
        <v>0</v>
      </c>
    </row>
    <row r="341" spans="1:4" ht="15">
      <c r="A341" s="30" t="s">
        <v>1783</v>
      </c>
      <c r="B341" s="53">
        <f>IF(ISTEXT((CADOLIVE!P_2_94.f CADOLIVE!Qté)),0,(CADOLIVE!P_2_94.f CADOLIVE!Qté))</f>
        <v>0</v>
      </c>
      <c r="C341" s="31">
        <f>(CADOLIVE!P_2_94.f CADOLIVE!PU)</f>
        <v>0</v>
      </c>
      <c r="D341" s="31">
        <f>IF(ISTEXT((CADOLIVE!P_2_94.f CADOLIVE!MT)),0,(CADOLIVE!P_2_94.f CADOLIVE!MT))</f>
        <v>0</v>
      </c>
    </row>
    <row r="342" spans="1:4" ht="15">
      <c r="A342" s="30" t="s">
        <v>1784</v>
      </c>
      <c r="B342" s="53">
        <f>IF(ISTEXT((CADOLIVE!P_2_95.a CADOLIVE!Qté)),0,(CADOLIVE!P_2_95.a CADOLIVE!Qté))</f>
        <v>0</v>
      </c>
      <c r="C342" s="31">
        <f>(CADOLIVE!P_2_95.a CADOLIVE!PU)</f>
        <v>0</v>
      </c>
      <c r="D342" s="31">
        <f>IF(ISTEXT((CADOLIVE!P_2_95.a CADOLIVE!MT)),0,(CADOLIVE!P_2_95.a CADOLIVE!MT))</f>
        <v>0</v>
      </c>
    </row>
    <row r="343" spans="1:4" ht="15">
      <c r="A343" s="30" t="s">
        <v>1785</v>
      </c>
      <c r="B343" s="53">
        <f>IF(ISTEXT((CADOLIVE!P_2_95.b CADOLIVE!Qté)),0,(CADOLIVE!P_2_95.b CADOLIVE!Qté))</f>
        <v>0</v>
      </c>
      <c r="C343" s="31">
        <f>(CADOLIVE!P_2_95.b CADOLIVE!PU)</f>
        <v>0</v>
      </c>
      <c r="D343" s="31">
        <f>IF(ISTEXT((CADOLIVE!P_2_95.b CADOLIVE!MT)),0,(CADOLIVE!P_2_95.b CADOLIVE!MT))</f>
        <v>0</v>
      </c>
    </row>
    <row r="344" spans="1:4" ht="15">
      <c r="A344" s="30" t="s">
        <v>1786</v>
      </c>
      <c r="B344" s="53">
        <f>IF(ISTEXT((CADOLIVE!P_2_95.c CADOLIVE!Qté)),0,(CADOLIVE!P_2_95.c CADOLIVE!Qté))</f>
        <v>0</v>
      </c>
      <c r="C344" s="31">
        <f>(CADOLIVE!P_2_95.c CADOLIVE!PU)</f>
        <v>0</v>
      </c>
      <c r="D344" s="31">
        <f>IF(ISTEXT((CADOLIVE!P_2_95.c CADOLIVE!MT)),0,(CADOLIVE!P_2_95.c CADOLIVE!MT))</f>
        <v>0</v>
      </c>
    </row>
    <row r="345" spans="1:4" ht="15">
      <c r="A345" s="30" t="s">
        <v>1787</v>
      </c>
      <c r="B345" s="53">
        <f>IF(ISTEXT((CADOLIVE!P_2_95.d CADOLIVE!Qté)),0,(CADOLIVE!P_2_95.d CADOLIVE!Qté))</f>
        <v>0</v>
      </c>
      <c r="C345" s="31">
        <f>(CADOLIVE!P_2_95.d CADOLIVE!PU)</f>
        <v>0</v>
      </c>
      <c r="D345" s="31">
        <f>IF(ISTEXT((CADOLIVE!P_2_95.d CADOLIVE!MT)),0,(CADOLIVE!P_2_95.d CADOLIVE!MT))</f>
        <v>0</v>
      </c>
    </row>
    <row r="346" spans="1:4" ht="15">
      <c r="A346" s="30" t="s">
        <v>1788</v>
      </c>
      <c r="B346" s="53">
        <f>IF(ISTEXT((CADOLIVE!P_2_95.e CADOLIVE!Qté)),0,(CADOLIVE!P_2_95.e CADOLIVE!Qté))</f>
        <v>0</v>
      </c>
      <c r="C346" s="31">
        <f>(CADOLIVE!P_2_95.e CADOLIVE!PU)</f>
        <v>0</v>
      </c>
      <c r="D346" s="31">
        <f>IF(ISTEXT((CADOLIVE!P_2_95.e CADOLIVE!MT)),0,(CADOLIVE!P_2_95.e CADOLIVE!MT))</f>
        <v>0</v>
      </c>
    </row>
    <row r="347" spans="1:4" ht="15">
      <c r="A347" s="30" t="s">
        <v>1789</v>
      </c>
      <c r="B347" s="53">
        <f>IF(ISTEXT((CADOLIVE!P_2_95.f CADOLIVE!Qté)),0,(CADOLIVE!P_2_95.f CADOLIVE!Qté))</f>
        <v>0</v>
      </c>
      <c r="C347" s="31">
        <f>(CADOLIVE!P_2_95.f CADOLIVE!PU)</f>
        <v>0</v>
      </c>
      <c r="D347" s="31">
        <f>IF(ISTEXT((CADOLIVE!P_2_95.f CADOLIVE!MT)),0,(CADOLIVE!P_2_95.f CADOLIVE!MT))</f>
        <v>0</v>
      </c>
    </row>
    <row r="348" spans="1:4" ht="15">
      <c r="A348" s="30" t="s">
        <v>1790</v>
      </c>
      <c r="B348" s="53">
        <f>IF(ISTEXT((CADOLIVE!P_2_95.g CADOLIVE!Qté)),0,(CADOLIVE!P_2_95.g CADOLIVE!Qté))</f>
        <v>0</v>
      </c>
      <c r="C348" s="31">
        <f>(CADOLIVE!P_2_95.g CADOLIVE!PU)</f>
        <v>0</v>
      </c>
      <c r="D348" s="31">
        <f>IF(ISTEXT((CADOLIVE!P_2_95.g CADOLIVE!MT)),0,(CADOLIVE!P_2_95.g CADOLIVE!MT))</f>
        <v>0</v>
      </c>
    </row>
    <row r="349" spans="1:4" ht="15">
      <c r="A349" s="30" t="s">
        <v>1791</v>
      </c>
      <c r="B349" s="53">
        <f>IF(ISTEXT((CADOLIVE!P_2_95.h CADOLIVE!Qté)),0,(CADOLIVE!P_2_95.h CADOLIVE!Qté))</f>
        <v>0</v>
      </c>
      <c r="C349" s="31">
        <f>(CADOLIVE!P_2_95.h CADOLIVE!PU)</f>
        <v>0</v>
      </c>
      <c r="D349" s="31">
        <f>IF(ISTEXT((CADOLIVE!P_2_95.h CADOLIVE!MT)),0,(CADOLIVE!P_2_95.h CADOLIVE!MT))</f>
        <v>0</v>
      </c>
    </row>
    <row r="350" spans="1:4" ht="15">
      <c r="A350" s="30" t="s">
        <v>1792</v>
      </c>
      <c r="B350" s="53">
        <f>IF(ISTEXT((CADOLIVE!P_2_95.i CADOLIVE!Qté)),0,(CADOLIVE!P_2_95.i CADOLIVE!Qté))</f>
        <v>0</v>
      </c>
      <c r="C350" s="31">
        <f>(CADOLIVE!P_2_95.i CADOLIVE!PU)</f>
        <v>0</v>
      </c>
      <c r="D350" s="31">
        <f>IF(ISTEXT((CADOLIVE!P_2_95.i CADOLIVE!MT)),0,(CADOLIVE!P_2_95.i CADOLIVE!MT))</f>
        <v>0</v>
      </c>
    </row>
    <row r="351" spans="1:4" ht="15">
      <c r="A351" s="30" t="s">
        <v>1793</v>
      </c>
      <c r="B351" s="53">
        <f>IF(ISTEXT((CADOLIVE!P_2_95.j CADOLIVE!Qté)),0,(CADOLIVE!P_2_95.j CADOLIVE!Qté))</f>
        <v>0</v>
      </c>
      <c r="C351" s="31">
        <f>(CADOLIVE!P_2_95.j CADOLIVE!PU)</f>
        <v>0</v>
      </c>
      <c r="D351" s="31">
        <f>IF(ISTEXT((CADOLIVE!P_2_95.j CADOLIVE!MT)),0,(CADOLIVE!P_2_95.j CADOLIVE!MT))</f>
        <v>0</v>
      </c>
    </row>
    <row r="352" spans="1:4" ht="15">
      <c r="A352" s="30" t="s">
        <v>1794</v>
      </c>
      <c r="B352" s="53">
        <f>IF(ISTEXT((CADOLIVE!P_2_95.k CADOLIVE!Qté)),0,(CADOLIVE!P_2_95.k CADOLIVE!Qté))</f>
        <v>0</v>
      </c>
      <c r="C352" s="31">
        <f>(CADOLIVE!P_2_95.k CADOLIVE!PU)</f>
        <v>0</v>
      </c>
      <c r="D352" s="31">
        <f>IF(ISTEXT((CADOLIVE!P_2_95.k CADOLIVE!MT)),0,(CADOLIVE!P_2_95.k CADOLIVE!MT))</f>
        <v>0</v>
      </c>
    </row>
    <row r="353" spans="1:4" ht="15">
      <c r="A353" s="30" t="s">
        <v>1795</v>
      </c>
      <c r="B353" s="53">
        <f>IF(ISTEXT((CADOLIVE!P_2_95.l CADOLIVE!Qté)),0,(CADOLIVE!P_2_95.l CADOLIVE!Qté))</f>
        <v>0</v>
      </c>
      <c r="C353" s="31">
        <f>(CADOLIVE!P_2_95.l CADOLIVE!PU)</f>
        <v>0</v>
      </c>
      <c r="D353" s="31">
        <f>IF(ISTEXT((CADOLIVE!P_2_95.l CADOLIVE!MT)),0,(CADOLIVE!P_2_95.l CADOLIVE!MT))</f>
        <v>0</v>
      </c>
    </row>
    <row r="354" spans="1:4" ht="15">
      <c r="A354" s="30" t="s">
        <v>1796</v>
      </c>
      <c r="B354" s="53">
        <f>IF(ISTEXT((CADOLIVE!P_2_95.m CADOLIVE!Qté)),0,(CADOLIVE!P_2_95.m CADOLIVE!Qté))</f>
        <v>0</v>
      </c>
      <c r="C354" s="31">
        <f>(CADOLIVE!P_2_95.m CADOLIVE!PU)</f>
        <v>0</v>
      </c>
      <c r="D354" s="31">
        <f>IF(ISTEXT((CADOLIVE!P_2_95.m CADOLIVE!MT)),0,(CADOLIVE!P_2_95.m CADOLIVE!MT))</f>
        <v>0</v>
      </c>
    </row>
    <row r="355" spans="1:4" ht="15">
      <c r="A355" s="30" t="s">
        <v>1797</v>
      </c>
      <c r="B355" s="53">
        <f>IF(ISTEXT((CADOLIVE!P_2_95.n CADOLIVE!Qté)),0,(CADOLIVE!P_2_95.n CADOLIVE!Qté))</f>
        <v>0</v>
      </c>
      <c r="C355" s="31">
        <f>(CADOLIVE!P_2_95.n CADOLIVE!PU)</f>
        <v>0</v>
      </c>
      <c r="D355" s="31">
        <f>IF(ISTEXT((CADOLIVE!P_2_95.n CADOLIVE!MT)),0,(CADOLIVE!P_2_95.n CADOLIVE!MT))</f>
        <v>0</v>
      </c>
    </row>
    <row r="356" spans="1:4" ht="15">
      <c r="A356" s="30" t="s">
        <v>1798</v>
      </c>
      <c r="B356" s="53">
        <f>IF(ISTEXT((CADOLIVE!P_2_95.o CADOLIVE!Qté)),0,(CADOLIVE!P_2_95.o CADOLIVE!Qté))</f>
        <v>0</v>
      </c>
      <c r="C356" s="31">
        <f>(CADOLIVE!P_2_95.o CADOLIVE!PU)</f>
        <v>0</v>
      </c>
      <c r="D356" s="31">
        <f>IF(ISTEXT((CADOLIVE!P_2_95.o CADOLIVE!MT)),0,(CADOLIVE!P_2_95.o CADOLIVE!MT))</f>
        <v>0</v>
      </c>
    </row>
    <row r="357" spans="1:4" ht="15">
      <c r="A357" s="30" t="s">
        <v>1799</v>
      </c>
      <c r="B357" s="53">
        <f>IF(ISTEXT((CADOLIVE!P_2_95.p CADOLIVE!Qté)),0,(CADOLIVE!P_2_95.p CADOLIVE!Qté))</f>
        <v>0</v>
      </c>
      <c r="C357" s="31">
        <f>(CADOLIVE!P_2_95.p CADOLIVE!PU)</f>
        <v>0</v>
      </c>
      <c r="D357" s="31">
        <f>IF(ISTEXT((CADOLIVE!P_2_95.p CADOLIVE!MT)),0,(CADOLIVE!P_2_95.p CADOLIVE!MT))</f>
        <v>0</v>
      </c>
    </row>
    <row r="358" spans="1:4" ht="15">
      <c r="A358" s="30" t="s">
        <v>1800</v>
      </c>
      <c r="B358" s="53">
        <f>IF(ISTEXT((CADOLIVE!P_2_95.q CADOLIVE!Qté)),0,(CADOLIVE!P_2_95.q CADOLIVE!Qté))</f>
        <v>0</v>
      </c>
      <c r="C358" s="31">
        <f>(CADOLIVE!P_2_95.q CADOLIVE!PU)</f>
        <v>0</v>
      </c>
      <c r="D358" s="31">
        <f>IF(ISTEXT((CADOLIVE!P_2_95.q CADOLIVE!MT)),0,(CADOLIVE!P_2_95.q CADOLIVE!MT))</f>
        <v>0</v>
      </c>
    </row>
    <row r="359" spans="1:4" ht="15">
      <c r="A359" s="30" t="s">
        <v>1801</v>
      </c>
      <c r="B359" s="53">
        <f>IF(ISTEXT((CADOLIVE!P_2_95.r CADOLIVE!Qté)),0,(CADOLIVE!P_2_95.r CADOLIVE!Qté))</f>
        <v>0</v>
      </c>
      <c r="C359" s="31">
        <f>(CADOLIVE!P_2_95.r CADOLIVE!PU)</f>
        <v>0</v>
      </c>
      <c r="D359" s="31">
        <f>IF(ISTEXT((CADOLIVE!P_2_95.r CADOLIVE!MT)),0,(CADOLIVE!P_2_95.r CADOLIVE!MT))</f>
        <v>0</v>
      </c>
    </row>
    <row r="360" spans="1:4" ht="15">
      <c r="A360" s="30" t="s">
        <v>1802</v>
      </c>
      <c r="B360" s="53">
        <f>IF(ISTEXT((CADOLIVE!P_2_95.s CADOLIVE!Qté)),0,(CADOLIVE!P_2_95.s CADOLIVE!Qté))</f>
        <v>0</v>
      </c>
      <c r="C360" s="31">
        <f>(CADOLIVE!P_2_95.s CADOLIVE!PU)</f>
        <v>0</v>
      </c>
      <c r="D360" s="31">
        <f>IF(ISTEXT((CADOLIVE!P_2_95.s CADOLIVE!MT)),0,(CADOLIVE!P_2_95.s CADOLIVE!MT))</f>
        <v>0</v>
      </c>
    </row>
    <row r="361" spans="1:4" ht="15">
      <c r="A361" s="30" t="s">
        <v>1803</v>
      </c>
      <c r="B361" s="53">
        <f>IF(ISTEXT((CADOLIVE!P_2_95.t CADOLIVE!Qté)),0,(CADOLIVE!P_2_95.t CADOLIVE!Qté))</f>
        <v>0</v>
      </c>
      <c r="C361" s="31">
        <f>(CADOLIVE!P_2_95.t CADOLIVE!PU)</f>
        <v>0</v>
      </c>
      <c r="D361" s="31">
        <f>IF(ISTEXT((CADOLIVE!P_2_95.t CADOLIVE!MT)),0,(CADOLIVE!P_2_95.t CADOLIVE!MT))</f>
        <v>0</v>
      </c>
    </row>
    <row r="362" spans="1:4" ht="15">
      <c r="A362" s="30" t="s">
        <v>1804</v>
      </c>
      <c r="B362" s="53">
        <f>IF(ISTEXT((CADOLIVE!P_2_95.u CADOLIVE!Qté)),0,(CADOLIVE!P_2_95.u CADOLIVE!Qté))</f>
        <v>0</v>
      </c>
      <c r="C362" s="31">
        <f>(CADOLIVE!P_2_95.u CADOLIVE!PU)</f>
        <v>0</v>
      </c>
      <c r="D362" s="31">
        <f>IF(ISTEXT((CADOLIVE!P_2_95.u CADOLIVE!MT)),0,(CADOLIVE!P_2_95.u CADOLIVE!MT))</f>
        <v>0</v>
      </c>
    </row>
    <row r="363" spans="1:4" ht="15">
      <c r="A363" s="30" t="s">
        <v>1805</v>
      </c>
      <c r="B363" s="53">
        <f>IF(ISTEXT((CADOLIVE!P_2_95.v CADOLIVE!Qté)),0,(CADOLIVE!P_2_95.v CADOLIVE!Qté))</f>
        <v>0</v>
      </c>
      <c r="C363" s="31">
        <f>(CADOLIVE!P_2_95.v CADOLIVE!PU)</f>
        <v>0</v>
      </c>
      <c r="D363" s="31">
        <f>IF(ISTEXT((CADOLIVE!P_2_95.v CADOLIVE!MT)),0,(CADOLIVE!P_2_95.v CADOLIVE!MT))</f>
        <v>0</v>
      </c>
    </row>
    <row r="364" spans="1:4" ht="15">
      <c r="A364" s="30" t="s">
        <v>1806</v>
      </c>
      <c r="B364" s="53">
        <f>IF(ISTEXT((CADOLIVE!P_2_95.w CADOLIVE!Qté)),0,(CADOLIVE!P_2_95.w CADOLIVE!Qté))</f>
        <v>0</v>
      </c>
      <c r="C364" s="31">
        <f>(CADOLIVE!P_2_95.w CADOLIVE!PU)</f>
        <v>0</v>
      </c>
      <c r="D364" s="31">
        <f>IF(ISTEXT((CADOLIVE!P_2_95.w CADOLIVE!MT)),0,(CADOLIVE!P_2_95.w CADOLIVE!MT))</f>
        <v>0</v>
      </c>
    </row>
    <row r="365" spans="1:4" ht="15">
      <c r="A365" s="30" t="s">
        <v>1807</v>
      </c>
      <c r="B365" s="53">
        <f>IF(ISTEXT((CADOLIVE!P_2_95.x CADOLIVE!Qté)),0,(CADOLIVE!P_2_95.x CADOLIVE!Qté))</f>
        <v>0</v>
      </c>
      <c r="C365" s="31">
        <f>(CADOLIVE!P_2_95.x CADOLIVE!PU)</f>
        <v>0</v>
      </c>
      <c r="D365" s="31">
        <f>IF(ISTEXT((CADOLIVE!P_2_95.x CADOLIVE!MT)),0,(CADOLIVE!P_2_95.x CADOLIVE!MT))</f>
        <v>0</v>
      </c>
    </row>
    <row r="366" spans="1:4" ht="15">
      <c r="A366" s="30" t="s">
        <v>1808</v>
      </c>
      <c r="B366" s="53">
        <f>IF(ISTEXT((CADOLIVE!P_2_96.a CADOLIVE!Qté)),0,(CADOLIVE!P_2_96.a CADOLIVE!Qté))</f>
        <v>0</v>
      </c>
      <c r="C366" s="31">
        <f>(CADOLIVE!P_2_96.a CADOLIVE!PU)</f>
        <v>0</v>
      </c>
      <c r="D366" s="31">
        <f>IF(ISTEXT((CADOLIVE!P_2_96.a CADOLIVE!MT)),0,(CADOLIVE!P_2_96.a CADOLIVE!MT))</f>
        <v>0</v>
      </c>
    </row>
    <row r="367" spans="1:4" ht="15">
      <c r="A367" s="30" t="s">
        <v>1811</v>
      </c>
      <c r="B367" s="53">
        <f>IF(ISTEXT((CADOLIVE!P_2_96.b CADOLIVE!Qté)),0,(CADOLIVE!P_2_96.b CADOLIVE!Qté))</f>
        <v>0</v>
      </c>
      <c r="C367" s="31">
        <f>(CADOLIVE!P_2_96.b CADOLIVE!PU)</f>
        <v>0</v>
      </c>
      <c r="D367" s="31">
        <f>IF(ISTEXT((CADOLIVE!P_2_96.b CADOLIVE!MT)),0,(CADOLIVE!P_2_96.b CADOLIVE!MT))</f>
        <v>0</v>
      </c>
    </row>
    <row r="368" spans="1:4" ht="15">
      <c r="A368" s="30" t="s">
        <v>1812</v>
      </c>
      <c r="B368" s="53">
        <f>IF(ISTEXT((CADOLIVE!P_2_96.c CADOLIVE!Qté)),0,(CADOLIVE!P_2_96.c CADOLIVE!Qté))</f>
        <v>0</v>
      </c>
      <c r="C368" s="31">
        <f>(CADOLIVE!P_2_96.c CADOLIVE!PU)</f>
        <v>0</v>
      </c>
      <c r="D368" s="31">
        <f>IF(ISTEXT((CADOLIVE!P_2_96.c CADOLIVE!MT)),0,(CADOLIVE!P_2_96.c CADOLIVE!MT))</f>
        <v>0</v>
      </c>
    </row>
    <row r="369" spans="1:4" ht="15">
      <c r="A369" s="30" t="s">
        <v>1813</v>
      </c>
      <c r="B369" s="53">
        <f>IF(ISTEXT((CADOLIVE!P_2_96.d CADOLIVE!Qté)),0,(CADOLIVE!P_2_96.d CADOLIVE!Qté))</f>
        <v>0</v>
      </c>
      <c r="C369" s="31">
        <f>(CADOLIVE!P_2_96.d CADOLIVE!PU)</f>
        <v>0</v>
      </c>
      <c r="D369" s="31">
        <f>IF(ISTEXT((CADOLIVE!P_2_96.d CADOLIVE!MT)),0,(CADOLIVE!P_2_96.d CADOLIVE!MT))</f>
        <v>0</v>
      </c>
    </row>
    <row r="370" spans="1:4" ht="15">
      <c r="A370" s="30" t="s">
        <v>1809</v>
      </c>
      <c r="B370" s="53">
        <f>IF(ISTEXT((CADOLIVE!P_2_96.e CADOLIVE!Qté)),0,(CADOLIVE!P_2_96.e CADOLIVE!Qté))</f>
        <v>0</v>
      </c>
      <c r="C370" s="31">
        <f>(CADOLIVE!P_2_96.e CADOLIVE!PU)</f>
        <v>0</v>
      </c>
      <c r="D370" s="31">
        <f>IF(ISTEXT((CADOLIVE!P_2_96.e CADOLIVE!MT)),0,(CADOLIVE!P_2_96.e CADOLIVE!MT))</f>
        <v>0</v>
      </c>
    </row>
    <row r="371" spans="1:4" ht="15">
      <c r="A371" s="30" t="s">
        <v>1814</v>
      </c>
      <c r="B371" s="53">
        <f>IF(ISTEXT((CADOLIVE!P_2_96.f CADOLIVE!Qté)),0,(CADOLIVE!P_2_96.f CADOLIVE!Qté))</f>
        <v>0</v>
      </c>
      <c r="C371" s="31">
        <f>(CADOLIVE!P_2_96.f CADOLIVE!PU)</f>
        <v>0</v>
      </c>
      <c r="D371" s="31">
        <f>IF(ISTEXT((CADOLIVE!P_2_96.f CADOLIVE!MT)),0,(CADOLIVE!P_2_96.f CADOLIVE!MT))</f>
        <v>0</v>
      </c>
    </row>
    <row r="372" spans="1:4" ht="15">
      <c r="A372" s="30" t="s">
        <v>1815</v>
      </c>
      <c r="B372" s="53">
        <f>IF(ISTEXT((CADOLIVE!P_2_96.g CADOLIVE!Qté)),0,(CADOLIVE!P_2_96.g CADOLIVE!Qté))</f>
        <v>0</v>
      </c>
      <c r="C372" s="31">
        <f>(CADOLIVE!P_2_96.g CADOLIVE!PU)</f>
        <v>0</v>
      </c>
      <c r="D372" s="31">
        <f>IF(ISTEXT((CADOLIVE!P_2_96.g CADOLIVE!MT)),0,(CADOLIVE!P_2_96.g CADOLIVE!MT))</f>
        <v>0</v>
      </c>
    </row>
    <row r="373" spans="1:4" ht="15">
      <c r="A373" s="30" t="s">
        <v>1816</v>
      </c>
      <c r="B373" s="53">
        <f>IF(ISTEXT((CADOLIVE!P_2_96.h CADOLIVE!Qté)),0,(CADOLIVE!P_2_96.h CADOLIVE!Qté))</f>
        <v>0</v>
      </c>
      <c r="C373" s="31">
        <f>(CADOLIVE!P_2_96.h CADOLIVE!PU)</f>
        <v>0</v>
      </c>
      <c r="D373" s="31">
        <f>IF(ISTEXT((CADOLIVE!P_2_96.h CADOLIVE!MT)),0,(CADOLIVE!P_2_96.h CADOLIVE!MT))</f>
        <v>0</v>
      </c>
    </row>
    <row r="374" spans="1:4" ht="15">
      <c r="A374" s="30" t="s">
        <v>1810</v>
      </c>
      <c r="B374" s="53">
        <f>IF(ISTEXT((CADOLIVE!P_2_96.i CADOLIVE!Qté)),0,(CADOLIVE!P_2_96.i CADOLIVE!Qté))</f>
        <v>0</v>
      </c>
      <c r="C374" s="31">
        <f>(CADOLIVE!P_2_96.i CADOLIVE!PU)</f>
        <v>0</v>
      </c>
      <c r="D374" s="31">
        <f>IF(ISTEXT((CADOLIVE!P_2_96.i CADOLIVE!MT)),0,(CADOLIVE!P_2_96.i CADOLIVE!MT))</f>
        <v>0</v>
      </c>
    </row>
    <row r="375" spans="1:4" ht="15">
      <c r="A375" s="30" t="s">
        <v>1817</v>
      </c>
      <c r="B375" s="53">
        <f>IF(ISTEXT((CADOLIVE!P_2_96.j CADOLIVE!Qté)),0,(CADOLIVE!P_2_96.j CADOLIVE!Qté))</f>
        <v>0</v>
      </c>
      <c r="C375" s="31">
        <f>(CADOLIVE!P_2_96.j CADOLIVE!PU)</f>
        <v>0</v>
      </c>
      <c r="D375" s="31">
        <f>IF(ISTEXT((CADOLIVE!P_2_96.j CADOLIVE!MT)),0,(CADOLIVE!P_2_96.j CADOLIVE!MT))</f>
        <v>0</v>
      </c>
    </row>
    <row r="376" spans="1:4" ht="15">
      <c r="A376" s="30" t="s">
        <v>1818</v>
      </c>
      <c r="B376" s="53">
        <f>IF(ISTEXT((CADOLIVE!P_2_96.k CADOLIVE!Qté)),0,(CADOLIVE!P_2_96.k CADOLIVE!Qté))</f>
        <v>0</v>
      </c>
      <c r="C376" s="31">
        <f>(CADOLIVE!P_2_96.k CADOLIVE!PU)</f>
        <v>0</v>
      </c>
      <c r="D376" s="31">
        <f>IF(ISTEXT((CADOLIVE!P_2_96.k CADOLIVE!MT)),0,(CADOLIVE!P_2_96.k CADOLIVE!MT))</f>
        <v>0</v>
      </c>
    </row>
    <row r="377" spans="1:4" ht="15">
      <c r="A377" s="30" t="s">
        <v>1819</v>
      </c>
      <c r="B377" s="53">
        <f>IF(ISTEXT((CADOLIVE!P_2_96.l CADOLIVE!Qté)),0,(CADOLIVE!P_2_96.l CADOLIVE!Qté))</f>
        <v>0</v>
      </c>
      <c r="C377" s="31">
        <f>(CADOLIVE!P_2_96.l CADOLIVE!PU)</f>
        <v>0</v>
      </c>
      <c r="D377" s="31">
        <f>IF(ISTEXT((CADOLIVE!P_2_96.l CADOLIVE!MT)),0,(CADOLIVE!P_2_96.l CADOLIVE!MT))</f>
        <v>0</v>
      </c>
    </row>
    <row r="378" spans="1:4" ht="15">
      <c r="A378" s="30" t="s">
        <v>1820</v>
      </c>
      <c r="B378" s="53">
        <f>IF(ISTEXT((CADOLIVE!P_2_97.a CADOLIVE!Qté)),0,(CADOLIVE!P_2_97.a CADOLIVE!Qté))</f>
        <v>0</v>
      </c>
      <c r="C378" s="31">
        <f>(CADOLIVE!P_2_97.a CADOLIVE!PU)</f>
        <v>0</v>
      </c>
      <c r="D378" s="31">
        <f>IF(ISTEXT((CADOLIVE!P_2_97.a CADOLIVE!MT)),0,(CADOLIVE!P_2_97.a CADOLIVE!MT))</f>
        <v>0</v>
      </c>
    </row>
    <row r="379" spans="1:4" ht="15">
      <c r="A379" s="30" t="s">
        <v>1821</v>
      </c>
      <c r="B379" s="53">
        <f>IF(ISTEXT((CADOLIVE!P_2_97.b CADOLIVE!Qté)),0,(CADOLIVE!P_2_97.b CADOLIVE!Qté))</f>
        <v>0</v>
      </c>
      <c r="C379" s="31">
        <f>(CADOLIVE!P_2_97.b CADOLIVE!PU)</f>
        <v>0</v>
      </c>
      <c r="D379" s="31">
        <f>IF(ISTEXT((CADOLIVE!P_2_97.b CADOLIVE!MT)),0,(CADOLIVE!P_2_97.b CADOLIVE!MT))</f>
        <v>0</v>
      </c>
    </row>
    <row r="380" spans="1:4" ht="15">
      <c r="A380" s="30" t="s">
        <v>1822</v>
      </c>
      <c r="B380" s="53">
        <f>IF(ISTEXT((CADOLIVE!P_2_97.c CADOLIVE!Qté)),0,(CADOLIVE!P_2_97.c CADOLIVE!Qté))</f>
        <v>0</v>
      </c>
      <c r="C380" s="31">
        <f>(CADOLIVE!P_2_97.c CADOLIVE!PU)</f>
        <v>0</v>
      </c>
      <c r="D380" s="31">
        <f>IF(ISTEXT((CADOLIVE!P_2_97.c CADOLIVE!MT)),0,(CADOLIVE!P_2_97.c CADOLIVE!MT))</f>
        <v>0</v>
      </c>
    </row>
    <row r="381" spans="1:4" ht="15">
      <c r="A381" s="30" t="s">
        <v>1823</v>
      </c>
      <c r="B381" s="53">
        <f>IF(ISTEXT((CADOLIVE!P_2_97.d CADOLIVE!Qté)),0,(CADOLIVE!P_2_97.d CADOLIVE!Qté))</f>
        <v>0</v>
      </c>
      <c r="C381" s="31">
        <f>(CADOLIVE!P_2_97.d CADOLIVE!PU)</f>
        <v>0</v>
      </c>
      <c r="D381" s="31">
        <f>IF(ISTEXT((CADOLIVE!P_2_97.d CADOLIVE!MT)),0,(CADOLIVE!P_2_97.d CADOLIVE!MT))</f>
        <v>0</v>
      </c>
    </row>
    <row r="382" spans="1:4" ht="15">
      <c r="A382" s="30" t="s">
        <v>1824</v>
      </c>
      <c r="B382" s="53">
        <f>IF(ISTEXT((CADOLIVE!P_2_97.e CADOLIVE!Qté)),0,(CADOLIVE!P_2_97.e CADOLIVE!Qté))</f>
        <v>0</v>
      </c>
      <c r="C382" s="31">
        <f>(CADOLIVE!P_2_97.e CADOLIVE!PU)</f>
        <v>0</v>
      </c>
      <c r="D382" s="31">
        <f>IF(ISTEXT((CADOLIVE!P_2_97.e CADOLIVE!MT)),0,(CADOLIVE!P_2_97.e CADOLIVE!MT))</f>
        <v>0</v>
      </c>
    </row>
    <row r="383" spans="1:4" ht="15">
      <c r="A383" s="30" t="s">
        <v>1825</v>
      </c>
      <c r="B383" s="53">
        <f>IF(ISTEXT((CADOLIVE!P_2_97.f CADOLIVE!Qté)),0,(CADOLIVE!P_2_97.f CADOLIVE!Qté))</f>
        <v>0</v>
      </c>
      <c r="C383" s="31">
        <f>(CADOLIVE!P_2_97.f CADOLIVE!PU)</f>
        <v>0</v>
      </c>
      <c r="D383" s="31">
        <f>IF(ISTEXT((CADOLIVE!P_2_97.f CADOLIVE!MT)),0,(CADOLIVE!P_2_97.f CADOLIVE!MT))</f>
        <v>0</v>
      </c>
    </row>
    <row r="384" spans="1:4" ht="15">
      <c r="A384" s="30" t="s">
        <v>1826</v>
      </c>
      <c r="B384" s="53">
        <f>IF(ISTEXT((CADOLIVE!P_2_97.g CADOLIVE!Qté)),0,(CADOLIVE!P_2_97.g CADOLIVE!Qté))</f>
        <v>0</v>
      </c>
      <c r="C384" s="31">
        <f>(CADOLIVE!P_2_97.g CADOLIVE!PU)</f>
        <v>0</v>
      </c>
      <c r="D384" s="31">
        <f>IF(ISTEXT((CADOLIVE!P_2_97.g CADOLIVE!MT)),0,(CADOLIVE!P_2_97.g CADOLIVE!MT))</f>
        <v>0</v>
      </c>
    </row>
    <row r="385" spans="1:4" ht="15">
      <c r="A385" s="30" t="s">
        <v>1827</v>
      </c>
      <c r="B385" s="53">
        <f>IF(ISTEXT((CADOLIVE!P_2_97.h CADOLIVE!Qté)),0,(CADOLIVE!P_2_97.h CADOLIVE!Qté))</f>
        <v>0</v>
      </c>
      <c r="C385" s="31">
        <f>(CADOLIVE!P_2_97.h CADOLIVE!PU)</f>
        <v>0</v>
      </c>
      <c r="D385" s="31">
        <f>IF(ISTEXT((CADOLIVE!P_2_97.h CADOLIVE!MT)),0,(CADOLIVE!P_2_97.h CADOLIVE!MT))</f>
        <v>0</v>
      </c>
    </row>
    <row r="386" spans="1:4" ht="15">
      <c r="A386" s="30" t="s">
        <v>1828</v>
      </c>
      <c r="B386" s="53">
        <f>IF(ISTEXT((CADOLIVE!P_2_97.i CADOLIVE!Qté)),0,(CADOLIVE!P_2_97.i CADOLIVE!Qté))</f>
        <v>0</v>
      </c>
      <c r="C386" s="31">
        <f>(CADOLIVE!P_2_97.i CADOLIVE!PU)</f>
        <v>0</v>
      </c>
      <c r="D386" s="31">
        <f>IF(ISTEXT((CADOLIVE!P_2_97.i CADOLIVE!MT)),0,(CADOLIVE!P_2_97.i CADOLIVE!MT))</f>
        <v>0</v>
      </c>
    </row>
    <row r="387" spans="1:4" ht="15">
      <c r="A387" s="30" t="s">
        <v>1829</v>
      </c>
      <c r="B387" s="53">
        <f>IF(ISTEXT((CADOLIVE!P_2_98.a CADOLIVE!Qté)),0,(CADOLIVE!P_2_98.a CADOLIVE!Qté))</f>
        <v>0</v>
      </c>
      <c r="C387" s="31">
        <f>(CADOLIVE!P_2_98.a CADOLIVE!PU)</f>
        <v>0</v>
      </c>
      <c r="D387" s="31">
        <f>IF(ISTEXT((CADOLIVE!P_2_98.a CADOLIVE!MT)),0,(CADOLIVE!P_2_98.a CADOLIVE!MT))</f>
        <v>0</v>
      </c>
    </row>
    <row r="388" spans="1:4" ht="15">
      <c r="A388" s="30" t="s">
        <v>1830</v>
      </c>
      <c r="B388" s="53">
        <f>IF(ISTEXT((CADOLIVE!P_2_98.b CADOLIVE!Qté)),0,(CADOLIVE!P_2_98.b CADOLIVE!Qté))</f>
        <v>0</v>
      </c>
      <c r="C388" s="31">
        <f>(CADOLIVE!P_2_98.b CADOLIVE!PU)</f>
        <v>0</v>
      </c>
      <c r="D388" s="31">
        <f>IF(ISTEXT((CADOLIVE!P_2_98.b CADOLIVE!MT)),0,(CADOLIVE!P_2_98.b CADOLIVE!MT))</f>
        <v>0</v>
      </c>
    </row>
    <row r="389" spans="1:4" ht="15">
      <c r="A389" s="30" t="s">
        <v>1831</v>
      </c>
      <c r="B389" s="53">
        <f>IF(ISTEXT((CADOLIVE!P_2_98.c CADOLIVE!Qté)),0,(CADOLIVE!P_2_98.c CADOLIVE!Qté))</f>
        <v>0</v>
      </c>
      <c r="C389" s="31">
        <f>(CADOLIVE!P_2_98.c CADOLIVE!PU)</f>
        <v>0</v>
      </c>
      <c r="D389" s="31">
        <f>IF(ISTEXT((CADOLIVE!P_2_98.c CADOLIVE!MT)),0,(CADOLIVE!P_2_98.c CADOLIVE!MT))</f>
        <v>0</v>
      </c>
    </row>
    <row r="390" spans="1:4" ht="15">
      <c r="A390" s="30" t="s">
        <v>1832</v>
      </c>
      <c r="B390" s="53">
        <f>IF(ISTEXT((CADOLIVE!P_2_98.d CADOLIVE!Qté)),0,(CADOLIVE!P_2_98.d CADOLIVE!Qté))</f>
        <v>0</v>
      </c>
      <c r="C390" s="31">
        <f>(CADOLIVE!P_2_98.d CADOLIVE!PU)</f>
        <v>0</v>
      </c>
      <c r="D390" s="31">
        <f>IF(ISTEXT((CADOLIVE!P_2_98.d CADOLIVE!MT)),0,(CADOLIVE!P_2_98.d CADOLIVE!MT))</f>
        <v>0</v>
      </c>
    </row>
    <row r="391" spans="1:4" ht="15">
      <c r="A391" s="30" t="s">
        <v>1833</v>
      </c>
      <c r="B391" s="53">
        <f>IF(ISTEXT((CADOLIVE!P_2_98.e CADOLIVE!Qté)),0,(CADOLIVE!P_2_98.e CADOLIVE!Qté))</f>
        <v>0</v>
      </c>
      <c r="C391" s="31">
        <f>(CADOLIVE!P_2_98.e CADOLIVE!PU)</f>
        <v>0</v>
      </c>
      <c r="D391" s="31">
        <f>IF(ISTEXT((CADOLIVE!P_2_98.e CADOLIVE!MT)),0,(CADOLIVE!P_2_98.e CADOLIVE!MT))</f>
        <v>0</v>
      </c>
    </row>
    <row r="392" spans="1:4" ht="15">
      <c r="A392" s="30" t="s">
        <v>1834</v>
      </c>
      <c r="B392" s="53">
        <f>IF(ISTEXT((CADOLIVE!P_2_98.f CADOLIVE!Qté)),0,(CADOLIVE!P_2_98.f CADOLIVE!Qté))</f>
        <v>0</v>
      </c>
      <c r="C392" s="31">
        <f>(CADOLIVE!P_2_98.f CADOLIVE!PU)</f>
        <v>0</v>
      </c>
      <c r="D392" s="31">
        <f>IF(ISTEXT((CADOLIVE!P_2_98.f CADOLIVE!MT)),0,(CADOLIVE!P_2_98.f CADOLIVE!MT))</f>
        <v>0</v>
      </c>
    </row>
    <row r="393" spans="1:4" ht="15">
      <c r="A393" s="30" t="s">
        <v>1835</v>
      </c>
      <c r="B393" s="53">
        <f>IF(ISTEXT((CADOLIVE!P_2_98.g CADOLIVE!Qté)),0,(CADOLIVE!P_2_98.g CADOLIVE!Qté))</f>
        <v>0</v>
      </c>
      <c r="C393" s="31">
        <f>(CADOLIVE!P_2_98.g CADOLIVE!PU)</f>
        <v>0</v>
      </c>
      <c r="D393" s="31">
        <f>IF(ISTEXT((CADOLIVE!P_2_98.g CADOLIVE!MT)),0,(CADOLIVE!P_2_98.g CADOLIVE!MT))</f>
        <v>0</v>
      </c>
    </row>
    <row r="394" spans="1:4" ht="15">
      <c r="A394" s="30" t="s">
        <v>1836</v>
      </c>
      <c r="B394" s="53">
        <f>IF(ISTEXT((CADOLIVE!P_2_98.h CADOLIVE!Qté)),0,(CADOLIVE!P_2_98.h CADOLIVE!Qté))</f>
        <v>0</v>
      </c>
      <c r="C394" s="31">
        <f>(CADOLIVE!P_2_98.h CADOLIVE!PU)</f>
        <v>0</v>
      </c>
      <c r="D394" s="31">
        <f>IF(ISTEXT((CADOLIVE!P_2_98.h CADOLIVE!MT)),0,(CADOLIVE!P_2_98.h CADOLIVE!MT))</f>
        <v>0</v>
      </c>
    </row>
    <row r="395" spans="1:4" ht="15">
      <c r="A395" s="30" t="s">
        <v>1837</v>
      </c>
      <c r="B395" s="53">
        <f>IF(ISTEXT((CADOLIVE!P_2_98.i CADOLIVE!Qté)),0,(CADOLIVE!P_2_98.i CADOLIVE!Qté))</f>
        <v>0</v>
      </c>
      <c r="C395" s="31">
        <f>(CADOLIVE!P_2_98.i CADOLIVE!PU)</f>
        <v>0</v>
      </c>
      <c r="D395" s="31">
        <f>IF(ISTEXT((CADOLIVE!P_2_98.i CADOLIVE!MT)),0,(CADOLIVE!P_2_98.i CADOLIVE!MT))</f>
        <v>0</v>
      </c>
    </row>
    <row r="396" spans="1:4" ht="15">
      <c r="A396" s="30" t="s">
        <v>1838</v>
      </c>
      <c r="B396" s="53">
        <f>IF(ISTEXT((CADOLIVE!P_2_98.j CADOLIVE!Qté)),0,(CADOLIVE!P_2_98.j CADOLIVE!Qté))</f>
        <v>0</v>
      </c>
      <c r="C396" s="31">
        <f>(CADOLIVE!P_2_98.j CADOLIVE!PU)</f>
        <v>0</v>
      </c>
      <c r="D396" s="31">
        <f>IF(ISTEXT((CADOLIVE!P_2_98.j CADOLIVE!MT)),0,(CADOLIVE!P_2_98.j CADOLIVE!MT))</f>
        <v>0</v>
      </c>
    </row>
    <row r="397" spans="1:4" ht="15">
      <c r="A397" s="30" t="s">
        <v>1839</v>
      </c>
      <c r="B397" s="53">
        <f>IF(ISTEXT((CADOLIVE!P_2_98.k CADOLIVE!Qté)),0,(CADOLIVE!P_2_98.k CADOLIVE!Qté))</f>
        <v>0</v>
      </c>
      <c r="C397" s="31">
        <f>(CADOLIVE!P_2_98.k CADOLIVE!PU)</f>
        <v>0</v>
      </c>
      <c r="D397" s="31">
        <f>IF(ISTEXT((CADOLIVE!P_2_98.k CADOLIVE!MT)),0,(CADOLIVE!P_2_98.k CADOLIVE!MT))</f>
        <v>0</v>
      </c>
    </row>
    <row r="398" spans="1:4" ht="15">
      <c r="A398" s="30" t="s">
        <v>1840</v>
      </c>
      <c r="B398" s="53">
        <f>IF(ISTEXT((CADOLIVE!P_2_98.l CADOLIVE!Qté)),0,(CADOLIVE!P_2_98.l CADOLIVE!Qté))</f>
        <v>0</v>
      </c>
      <c r="C398" s="31">
        <f>(CADOLIVE!P_2_98.l CADOLIVE!PU)</f>
        <v>0</v>
      </c>
      <c r="D398" s="31">
        <f>IF(ISTEXT((CADOLIVE!P_2_98.l CADOLIVE!MT)),0,(CADOLIVE!P_2_98.l CADOLIVE!MT))</f>
        <v>0</v>
      </c>
    </row>
    <row r="399" spans="1:4" ht="15">
      <c r="A399" s="30" t="s">
        <v>1841</v>
      </c>
      <c r="B399" s="53">
        <f>IF(ISTEXT((CADOLIVE!P_2_99.a CADOLIVE!Qté)),0,(CADOLIVE!P_2_99.a CADOLIVE!Qté))</f>
        <v>0</v>
      </c>
      <c r="C399" s="31">
        <f>(CADOLIVE!P_2_99.a CADOLIVE!PU)</f>
        <v>0</v>
      </c>
      <c r="D399" s="31">
        <f>IF(ISTEXT((CADOLIVE!P_2_99.a CADOLIVE!MT)),0,(CADOLIVE!P_2_99.a CADOLIVE!MT))</f>
        <v>0</v>
      </c>
    </row>
    <row r="400" spans="1:4" ht="15">
      <c r="A400" s="30" t="s">
        <v>1255</v>
      </c>
      <c r="B400" s="53">
        <f>IF(ISTEXT((CADOLIVE!P_2_99.b CADOLIVE!Qté)),0,(CADOLIVE!P_2_99.b CADOLIVE!Qté))</f>
        <v>0</v>
      </c>
      <c r="C400" s="31">
        <f>(CADOLIVE!P_2_99.b CADOLIVE!PU)</f>
        <v>0</v>
      </c>
      <c r="D400" s="31">
        <f>IF(ISTEXT((CADOLIVE!P_2_99.b CADOLIVE!MT)),0,(CADOLIVE!P_2_99.b CADOLIVE!MT))</f>
        <v>0</v>
      </c>
    </row>
    <row r="401" spans="1:4" ht="15">
      <c r="A401" s="30" t="s">
        <v>1254</v>
      </c>
      <c r="B401" s="53">
        <f>IF(ISTEXT((CADOLIVE!P_2_99.c CADOLIVE!Qté)),0,(CADOLIVE!P_2_99.c CADOLIVE!Qté))</f>
        <v>0</v>
      </c>
      <c r="C401" s="31">
        <f>(CADOLIVE!P_2_99.c CADOLIVE!PU)</f>
        <v>0</v>
      </c>
      <c r="D401" s="31">
        <f>IF(ISTEXT((CADOLIVE!P_2_99.c CADOLIVE!MT)),0,(CADOLIVE!P_2_99.c CADOLIVE!MT))</f>
        <v>0</v>
      </c>
    </row>
    <row r="402" spans="1:4" ht="15">
      <c r="A402" s="30" t="s">
        <v>1253</v>
      </c>
      <c r="B402" s="53">
        <f>IF(ISTEXT((CADOLIVE!P_2_99.d CADOLIVE!Qté)),0,(CADOLIVE!P_2_99.d CADOLIVE!Qté))</f>
        <v>0</v>
      </c>
      <c r="C402" s="31">
        <f>(CADOLIVE!P_2_99.d CADOLIVE!PU)</f>
        <v>0</v>
      </c>
      <c r="D402" s="31">
        <f>IF(ISTEXT((CADOLIVE!P_2_99.d CADOLIVE!MT)),0,(CADOLIVE!P_2_99.d CADOLIVE!MT))</f>
        <v>0</v>
      </c>
    </row>
    <row r="403" spans="1:4" ht="15">
      <c r="A403" s="30" t="s">
        <v>1252</v>
      </c>
      <c r="B403" s="53">
        <f>IF(ISTEXT((CADOLIVE!P_2_99.e CADOLIVE!Qté)),0,(CADOLIVE!P_2_99.e CADOLIVE!Qté))</f>
        <v>0</v>
      </c>
      <c r="C403" s="31">
        <f>(CADOLIVE!P_2_99.e CADOLIVE!PU)</f>
        <v>0</v>
      </c>
      <c r="D403" s="31">
        <f>IF(ISTEXT((CADOLIVE!P_2_99.e CADOLIVE!MT)),0,(CADOLIVE!P_2_99.e CADOLIVE!MT))</f>
        <v>0</v>
      </c>
    </row>
    <row r="404" spans="1:4" ht="15">
      <c r="A404" s="30" t="s">
        <v>1251</v>
      </c>
      <c r="B404" s="53">
        <f>IF(ISTEXT((CADOLIVE!P_2_99.f CADOLIVE!Qté)),0,(CADOLIVE!P_2_99.f CADOLIVE!Qté))</f>
        <v>0</v>
      </c>
      <c r="C404" s="31">
        <f>(CADOLIVE!P_2_99.f CADOLIVE!PU)</f>
        <v>0</v>
      </c>
      <c r="D404" s="31">
        <f>IF(ISTEXT((CADOLIVE!P_2_99.f CADOLIVE!MT)),0,(CADOLIVE!P_2_99.f CADOLIVE!MT))</f>
        <v>0</v>
      </c>
    </row>
    <row r="405" spans="1:4" ht="15">
      <c r="A405" s="30" t="s">
        <v>1250</v>
      </c>
      <c r="B405" s="53">
        <f>IF(ISTEXT((CADOLIVE!P_2_99.g CADOLIVE!Qté)),0,(CADOLIVE!P_2_99.g CADOLIVE!Qté))</f>
        <v>0</v>
      </c>
      <c r="C405" s="31">
        <f>(CADOLIVE!P_2_99.g CADOLIVE!PU)</f>
        <v>0</v>
      </c>
      <c r="D405" s="31">
        <f>IF(ISTEXT((CADOLIVE!P_2_99.g CADOLIVE!MT)),0,(CADOLIVE!P_2_99.g CADOLIVE!MT))</f>
        <v>0</v>
      </c>
    </row>
    <row r="406" spans="1:4" ht="15">
      <c r="A406" s="30" t="s">
        <v>1249</v>
      </c>
      <c r="B406" s="53">
        <f>IF(ISTEXT((CADOLIVE!P_2_99.h CADOLIVE!Qté)),0,(CADOLIVE!P_2_99.h CADOLIVE!Qté))</f>
        <v>0</v>
      </c>
      <c r="C406" s="31">
        <f>(CADOLIVE!P_2_99.h CADOLIVE!PU)</f>
        <v>0</v>
      </c>
      <c r="D406" s="31">
        <f>IF(ISTEXT((CADOLIVE!P_2_99.h CADOLIVE!MT)),0,(CADOLIVE!P_2_99.h CADOLIVE!MT))</f>
        <v>0</v>
      </c>
    </row>
    <row r="407" spans="1:4" ht="15">
      <c r="A407" s="30" t="s">
        <v>1248</v>
      </c>
      <c r="B407" s="53">
        <f>IF(ISTEXT((CADOLIVE!P_2_99.i CADOLIVE!Qté)),0,(CADOLIVE!P_2_99.i CADOLIVE!Qté))</f>
        <v>0</v>
      </c>
      <c r="C407" s="31">
        <f>(CADOLIVE!P_2_99.i CADOLIVE!PU)</f>
        <v>0</v>
      </c>
      <c r="D407" s="31">
        <f>IF(ISTEXT((CADOLIVE!P_2_99.i CADOLIVE!MT)),0,(CADOLIVE!P_2_99.i CADOLIVE!MT))</f>
        <v>0</v>
      </c>
    </row>
    <row r="408" spans="1:4" ht="15">
      <c r="A408" s="30" t="s">
        <v>1247</v>
      </c>
      <c r="B408" s="53">
        <f>IF(ISTEXT((CADOLIVE!P_2_99.j CADOLIVE!Qté)),0,(CADOLIVE!P_2_99.j CADOLIVE!Qté))</f>
        <v>0</v>
      </c>
      <c r="C408" s="31">
        <f>(CADOLIVE!P_2_99.j CADOLIVE!PU)</f>
        <v>0</v>
      </c>
      <c r="D408" s="31">
        <f>IF(ISTEXT((CADOLIVE!P_2_99.j CADOLIVE!MT)),0,(CADOLIVE!P_2_99.j CADOLIVE!MT))</f>
        <v>0</v>
      </c>
    </row>
    <row r="409" spans="1:4" ht="15">
      <c r="A409" s="30" t="s">
        <v>1246</v>
      </c>
      <c r="B409" s="53">
        <f>IF(ISTEXT((CADOLIVE!P_2_99.k CADOLIVE!Qté)),0,(CADOLIVE!P_2_99.k CADOLIVE!Qté))</f>
        <v>0</v>
      </c>
      <c r="C409" s="31">
        <f>(CADOLIVE!P_2_99.k CADOLIVE!PU)</f>
        <v>0</v>
      </c>
      <c r="D409" s="31">
        <f>IF(ISTEXT((CADOLIVE!P_2_99.k CADOLIVE!MT)),0,(CADOLIVE!P_2_99.k CADOLIVE!MT))</f>
        <v>0</v>
      </c>
    </row>
    <row r="410" spans="1:4" ht="15">
      <c r="A410" s="30" t="s">
        <v>1245</v>
      </c>
      <c r="B410" s="53">
        <f>IF(ISTEXT((CADOLIVE!P_2_99.l CADOLIVE!Qté)),0,(CADOLIVE!P_2_99.l CADOLIVE!Qté))</f>
        <v>0</v>
      </c>
      <c r="C410" s="31">
        <f>(CADOLIVE!P_2_99.l CADOLIVE!PU)</f>
        <v>0</v>
      </c>
      <c r="D410" s="31">
        <f>IF(ISTEXT((CADOLIVE!P_2_99.l CADOLIVE!MT)),0,(CADOLIVE!P_2_99.l CADOLIVE!MT))</f>
        <v>0</v>
      </c>
    </row>
    <row r="411" spans="1:4" ht="15">
      <c r="A411" s="30" t="s">
        <v>1005</v>
      </c>
      <c r="B411" s="53">
        <f>IF(ISTEXT((CADOLIVE!P_2_100 CADOLIVE!Qté)),0,(CADOLIVE!P_2_100 CADOLIVE!Qté))</f>
        <v>0</v>
      </c>
      <c r="C411" s="31">
        <f>(CADOLIVE!P_2_100 CADOLIVE!PU)</f>
        <v>0</v>
      </c>
      <c r="D411" s="31">
        <f>IF(ISTEXT((CADOLIVE!P_2_100 CADOLIVE!MT)),0,(CADOLIVE!P_2_100 CADOLIVE!MT))</f>
        <v>0</v>
      </c>
    </row>
    <row r="412" spans="1:4" ht="15">
      <c r="A412" s="30" t="s">
        <v>1842</v>
      </c>
      <c r="B412" s="53">
        <f>IF(ISTEXT((CADOLIVE!P_2_101.a CADOLIVE!Qté)),0,(CADOLIVE!P_2_101.a CADOLIVE!Qté))</f>
        <v>0</v>
      </c>
      <c r="C412" s="31">
        <f>(CADOLIVE!P_2_101.a CADOLIVE!PU)</f>
        <v>0</v>
      </c>
      <c r="D412" s="31">
        <f>IF(ISTEXT((CADOLIVE!P_2_101.a CADOLIVE!MT)),0,(CADOLIVE!P_2_101.a CADOLIVE!MT))</f>
        <v>0</v>
      </c>
    </row>
    <row r="413" spans="1:4" ht="15">
      <c r="A413" s="30" t="s">
        <v>1244</v>
      </c>
      <c r="B413" s="53">
        <f>IF(ISTEXT((CADOLIVE!P_2_101.b CADOLIVE!Qté)),0,(CADOLIVE!P_2_101.b CADOLIVE!Qté))</f>
        <v>0</v>
      </c>
      <c r="C413" s="31">
        <f>(CADOLIVE!P_2_101.b CADOLIVE!PU)</f>
        <v>0</v>
      </c>
      <c r="D413" s="31">
        <f>IF(ISTEXT((CADOLIVE!P_2_101.b CADOLIVE!MT)),0,(CADOLIVE!P_2_101.b CADOLIVE!MT))</f>
        <v>0</v>
      </c>
    </row>
    <row r="414" spans="1:4" ht="15">
      <c r="A414" s="30" t="s">
        <v>1243</v>
      </c>
      <c r="B414" s="53">
        <f>IF(ISTEXT((CADOLIVE!P_2_101.c CADOLIVE!Qté)),0,(CADOLIVE!P_2_101.c CADOLIVE!Qté))</f>
        <v>0</v>
      </c>
      <c r="C414" s="31">
        <f>(CADOLIVE!P_2_101.c CADOLIVE!PU)</f>
        <v>0</v>
      </c>
      <c r="D414" s="31">
        <f>IF(ISTEXT((CADOLIVE!P_2_101.c CADOLIVE!MT)),0,(CADOLIVE!P_2_101.c CADOLIVE!MT))</f>
        <v>0</v>
      </c>
    </row>
    <row r="415" spans="1:4" ht="15">
      <c r="A415" s="30" t="s">
        <v>1843</v>
      </c>
      <c r="B415" s="53">
        <f>IF(ISTEXT((CADOLIVE!P_2_102.a CADOLIVE!Qté)),0,(CADOLIVE!P_2_102.a CADOLIVE!Qté))</f>
        <v>0</v>
      </c>
      <c r="C415" s="31">
        <f>(CADOLIVE!P_2_102.a CADOLIVE!PU)</f>
        <v>0</v>
      </c>
      <c r="D415" s="31">
        <f>IF(ISTEXT((CADOLIVE!P_2_102.a CADOLIVE!MT)),0,(CADOLIVE!P_2_102.a CADOLIVE!MT))</f>
        <v>0</v>
      </c>
    </row>
    <row r="416" spans="1:4" ht="15">
      <c r="A416" s="30" t="s">
        <v>1280</v>
      </c>
      <c r="B416" s="53">
        <f>IF(ISTEXT((CADOLIVE!P_2_102.b CADOLIVE!Qté)),0,(CADOLIVE!P_2_102.b CADOLIVE!Qté))</f>
        <v>0</v>
      </c>
      <c r="C416" s="31">
        <f>(CADOLIVE!P_2_102.b CADOLIVE!PU)</f>
        <v>0</v>
      </c>
      <c r="D416" s="31">
        <f>IF(ISTEXT((CADOLIVE!P_2_102.b CADOLIVE!MT)),0,(CADOLIVE!P_2_102.b CADOLIVE!MT))</f>
        <v>0</v>
      </c>
    </row>
    <row r="417" spans="1:4" ht="15">
      <c r="A417" s="30" t="s">
        <v>1279</v>
      </c>
      <c r="B417" s="53">
        <f>IF(ISTEXT((CADOLIVE!P_2_102.c CADOLIVE!Qté)),0,(CADOLIVE!P_2_102.c CADOLIVE!Qté))</f>
        <v>0</v>
      </c>
      <c r="C417" s="31">
        <f>(CADOLIVE!P_2_102.c CADOLIVE!PU)</f>
        <v>0</v>
      </c>
      <c r="D417" s="31">
        <f>IF(ISTEXT((CADOLIVE!P_2_102.c CADOLIVE!MT)),0,(CADOLIVE!P_2_102.c CADOLIVE!MT))</f>
        <v>0</v>
      </c>
    </row>
    <row r="418" spans="1:4" ht="15">
      <c r="A418" s="30" t="s">
        <v>1278</v>
      </c>
      <c r="B418" s="53">
        <f>IF(ISTEXT((CADOLIVE!P_2_102.d CADOLIVE!Qté)),0,(CADOLIVE!P_2_102.d CADOLIVE!Qté))</f>
        <v>0</v>
      </c>
      <c r="C418" s="31">
        <f>(CADOLIVE!P_2_102.d CADOLIVE!PU)</f>
        <v>0</v>
      </c>
      <c r="D418" s="31">
        <f>IF(ISTEXT((CADOLIVE!P_2_102.d CADOLIVE!MT)),0,(CADOLIVE!P_2_102.d CADOLIVE!MT))</f>
        <v>0</v>
      </c>
    </row>
    <row r="419" spans="1:4" ht="15">
      <c r="A419" s="30" t="s">
        <v>1277</v>
      </c>
      <c r="B419" s="53">
        <f>IF(ISTEXT((CADOLIVE!P_2_102.e CADOLIVE!Qté)),0,(CADOLIVE!P_2_102.e CADOLIVE!Qté))</f>
        <v>0</v>
      </c>
      <c r="C419" s="31">
        <f>(CADOLIVE!P_2_102.e CADOLIVE!PU)</f>
        <v>0</v>
      </c>
      <c r="D419" s="31">
        <f>IF(ISTEXT((CADOLIVE!P_2_102.e CADOLIVE!MT)),0,(CADOLIVE!P_2_102.e CADOLIVE!MT))</f>
        <v>0</v>
      </c>
    </row>
    <row r="420" spans="1:4" ht="15">
      <c r="A420" s="30" t="s">
        <v>1276</v>
      </c>
      <c r="B420" s="53">
        <f>IF(ISTEXT((CADOLIVE!P_2_102.f CADOLIVE!Qté)),0,(CADOLIVE!P_2_102.f CADOLIVE!Qté))</f>
        <v>0</v>
      </c>
      <c r="C420" s="31">
        <f>(CADOLIVE!P_2_102.f CADOLIVE!PU)</f>
        <v>0</v>
      </c>
      <c r="D420" s="31">
        <f>IF(ISTEXT((CADOLIVE!P_2_102.f CADOLIVE!MT)),0,(CADOLIVE!P_2_102.f CADOLIVE!MT))</f>
        <v>0</v>
      </c>
    </row>
    <row r="421" spans="1:4" ht="15">
      <c r="A421" s="30" t="s">
        <v>1275</v>
      </c>
      <c r="B421" s="53">
        <f>IF(ISTEXT((CADOLIVE!P_2_102.g CADOLIVE!Qté)),0,(CADOLIVE!P_2_102.g CADOLIVE!Qté))</f>
        <v>0</v>
      </c>
      <c r="C421" s="31">
        <f>(CADOLIVE!P_2_102.g CADOLIVE!PU)</f>
        <v>0</v>
      </c>
      <c r="D421" s="31">
        <f>IF(ISTEXT((CADOLIVE!P_2_102.g CADOLIVE!MT)),0,(CADOLIVE!P_2_102.g CADOLIVE!MT))</f>
        <v>0</v>
      </c>
    </row>
    <row r="422" spans="1:4" ht="15">
      <c r="A422" s="30" t="s">
        <v>1274</v>
      </c>
      <c r="B422" s="53">
        <f>IF(ISTEXT((CADOLIVE!P_2_102.h CADOLIVE!Qté)),0,(CADOLIVE!P_2_102.h CADOLIVE!Qté))</f>
        <v>0</v>
      </c>
      <c r="C422" s="31">
        <f>(CADOLIVE!P_2_102.h CADOLIVE!PU)</f>
        <v>0</v>
      </c>
      <c r="D422" s="31">
        <f>IF(ISTEXT((CADOLIVE!P_2_102.h CADOLIVE!MT)),0,(CADOLIVE!P_2_102.h CADOLIVE!MT))</f>
        <v>0</v>
      </c>
    </row>
    <row r="423" spans="1:4" ht="15">
      <c r="A423" s="30" t="s">
        <v>1273</v>
      </c>
      <c r="B423" s="53">
        <f>IF(ISTEXT((CADOLIVE!P_2_102.i CADOLIVE!Qté)),0,(CADOLIVE!P_2_102.i CADOLIVE!Qté))</f>
        <v>0</v>
      </c>
      <c r="C423" s="31">
        <f>(CADOLIVE!P_2_102.i CADOLIVE!PU)</f>
        <v>0</v>
      </c>
      <c r="D423" s="31">
        <f>IF(ISTEXT((CADOLIVE!P_2_102.i CADOLIVE!MT)),0,(CADOLIVE!P_2_102.i CADOLIVE!MT))</f>
        <v>0</v>
      </c>
    </row>
    <row r="424" spans="1:4" ht="15">
      <c r="A424" s="30" t="s">
        <v>1272</v>
      </c>
      <c r="B424" s="53">
        <f>IF(ISTEXT((CADOLIVE!P_2_102.j CADOLIVE!Qté)),0,(CADOLIVE!P_2_102.j CADOLIVE!Qté))</f>
        <v>0</v>
      </c>
      <c r="C424" s="31">
        <f>(CADOLIVE!P_2_102.j CADOLIVE!PU)</f>
        <v>0</v>
      </c>
      <c r="D424" s="31">
        <f>IF(ISTEXT((CADOLIVE!P_2_102.j CADOLIVE!MT)),0,(CADOLIVE!P_2_102.j CADOLIVE!MT))</f>
        <v>0</v>
      </c>
    </row>
    <row r="425" spans="1:4" ht="15">
      <c r="A425" s="30" t="s">
        <v>1271</v>
      </c>
      <c r="B425" s="53">
        <f>IF(ISTEXT((CADOLIVE!P_2_102.k CADOLIVE!Qté)),0,(CADOLIVE!P_2_102.k CADOLIVE!Qté))</f>
        <v>0</v>
      </c>
      <c r="C425" s="31">
        <f>(CADOLIVE!P_2_102.k CADOLIVE!PU)</f>
        <v>0</v>
      </c>
      <c r="D425" s="31">
        <f>IF(ISTEXT((CADOLIVE!P_2_102.k CADOLIVE!MT)),0,(CADOLIVE!P_2_102.k CADOLIVE!MT))</f>
        <v>0</v>
      </c>
    </row>
    <row r="426" spans="1:4" ht="15">
      <c r="A426" s="30" t="s">
        <v>1270</v>
      </c>
      <c r="B426" s="53">
        <f>IF(ISTEXT((CADOLIVE!P_2_102.l CADOLIVE!Qté)),0,(CADOLIVE!P_2_102.l CADOLIVE!Qté))</f>
        <v>0</v>
      </c>
      <c r="C426" s="31">
        <f>(CADOLIVE!P_2_102.l CADOLIVE!PU)</f>
        <v>0</v>
      </c>
      <c r="D426" s="31">
        <f>IF(ISTEXT((CADOLIVE!P_2_102.l CADOLIVE!MT)),0,(CADOLIVE!P_2_102.l CADOLIVE!MT))</f>
        <v>0</v>
      </c>
    </row>
    <row r="427" spans="1:4" ht="15">
      <c r="A427" s="30" t="s">
        <v>1269</v>
      </c>
      <c r="B427" s="53">
        <f>IF(ISTEXT((CADOLIVE!P_2_102.m CADOLIVE!Qté)),0,(CADOLIVE!P_2_102.m CADOLIVE!Qté))</f>
        <v>0</v>
      </c>
      <c r="C427" s="31">
        <f>(CADOLIVE!P_2_102.m CADOLIVE!PU)</f>
        <v>0</v>
      </c>
      <c r="D427" s="31">
        <f>IF(ISTEXT((CADOLIVE!P_2_102.m CADOLIVE!MT)),0,(CADOLIVE!P_2_102.m CADOLIVE!MT))</f>
        <v>0</v>
      </c>
    </row>
    <row r="428" spans="1:4" ht="15">
      <c r="A428" s="30" t="s">
        <v>1268</v>
      </c>
      <c r="B428" s="53">
        <f>IF(ISTEXT((CADOLIVE!P_2_102.n CADOLIVE!Qté)),0,(CADOLIVE!P_2_102.n CADOLIVE!Qté))</f>
        <v>0</v>
      </c>
      <c r="C428" s="31">
        <f>(CADOLIVE!P_2_102.n CADOLIVE!PU)</f>
        <v>0</v>
      </c>
      <c r="D428" s="31">
        <f>IF(ISTEXT((CADOLIVE!P_2_102.n CADOLIVE!MT)),0,(CADOLIVE!P_2_102.n CADOLIVE!MT))</f>
        <v>0</v>
      </c>
    </row>
    <row r="429" spans="1:4" ht="15">
      <c r="A429" s="30" t="s">
        <v>1267</v>
      </c>
      <c r="B429" s="53">
        <f>IF(ISTEXT((CADOLIVE!P_2_102.o CADOLIVE!Qté)),0,(CADOLIVE!P_2_102.o CADOLIVE!Qté))</f>
        <v>0</v>
      </c>
      <c r="C429" s="31">
        <f>(CADOLIVE!P_2_102.o CADOLIVE!PU)</f>
        <v>0</v>
      </c>
      <c r="D429" s="31">
        <f>IF(ISTEXT((CADOLIVE!P_2_102.o CADOLIVE!MT)),0,(CADOLIVE!P_2_102.o CADOLIVE!MT))</f>
        <v>0</v>
      </c>
    </row>
    <row r="430" spans="1:4" ht="15">
      <c r="A430" s="30" t="s">
        <v>1266</v>
      </c>
      <c r="B430" s="53">
        <f>IF(ISTEXT((CADOLIVE!P_2_102.p CADOLIVE!Qté)),0,(CADOLIVE!P_2_102.p CADOLIVE!Qté))</f>
        <v>0</v>
      </c>
      <c r="C430" s="31">
        <f>(CADOLIVE!P_2_102.p CADOLIVE!PU)</f>
        <v>0</v>
      </c>
      <c r="D430" s="31">
        <f>IF(ISTEXT((CADOLIVE!P_2_102.p CADOLIVE!MT)),0,(CADOLIVE!P_2_102.p CADOLIVE!MT))</f>
        <v>0</v>
      </c>
    </row>
    <row r="431" spans="1:4" ht="15">
      <c r="A431" s="30" t="s">
        <v>1265</v>
      </c>
      <c r="B431" s="53">
        <f>IF(ISTEXT((CADOLIVE!P_2_102.q CADOLIVE!Qté)),0,(CADOLIVE!P_2_102.q CADOLIVE!Qté))</f>
        <v>0</v>
      </c>
      <c r="C431" s="31">
        <f>(CADOLIVE!P_2_102.q CADOLIVE!PU)</f>
        <v>0</v>
      </c>
      <c r="D431" s="31">
        <f>IF(ISTEXT((CADOLIVE!P_2_102.q CADOLIVE!MT)),0,(CADOLIVE!P_2_102.q CADOLIVE!MT))</f>
        <v>0</v>
      </c>
    </row>
    <row r="432" spans="1:4" ht="15">
      <c r="A432" s="30" t="s">
        <v>1264</v>
      </c>
      <c r="B432" s="53">
        <f>IF(ISTEXT((CADOLIVE!P_2_102.r CADOLIVE!Qté)),0,(CADOLIVE!P_2_102.r CADOLIVE!Qté))</f>
        <v>0</v>
      </c>
      <c r="C432" s="31">
        <f>(CADOLIVE!P_2_102.r CADOLIVE!PU)</f>
        <v>0</v>
      </c>
      <c r="D432" s="31">
        <f>IF(ISTEXT((CADOLIVE!P_2_102.r CADOLIVE!MT)),0,(CADOLIVE!P_2_102.r CADOLIVE!MT))</f>
        <v>0</v>
      </c>
    </row>
    <row r="433" spans="1:4" ht="15">
      <c r="A433" s="30" t="s">
        <v>1263</v>
      </c>
      <c r="B433" s="53">
        <f>IF(ISTEXT((CADOLIVE!P_2_102.s CADOLIVE!Qté)),0,(CADOLIVE!P_2_102.s CADOLIVE!Qté))</f>
        <v>0</v>
      </c>
      <c r="C433" s="31">
        <f>(CADOLIVE!P_2_102.s CADOLIVE!PU)</f>
        <v>0</v>
      </c>
      <c r="D433" s="31">
        <f>IF(ISTEXT((CADOLIVE!P_2_102.s CADOLIVE!MT)),0,(CADOLIVE!P_2_102.s CADOLIVE!MT))</f>
        <v>0</v>
      </c>
    </row>
    <row r="434" spans="1:4" ht="15">
      <c r="A434" s="30" t="s">
        <v>1262</v>
      </c>
      <c r="B434" s="53">
        <f>IF(ISTEXT((CADOLIVE!P_2_102.t CADOLIVE!Qté)),0,(CADOLIVE!P_2_102.t CADOLIVE!Qté))</f>
        <v>0</v>
      </c>
      <c r="C434" s="31">
        <f>(CADOLIVE!P_2_102.t CADOLIVE!PU)</f>
        <v>0</v>
      </c>
      <c r="D434" s="31">
        <f>IF(ISTEXT((CADOLIVE!P_2_102.t CADOLIVE!MT)),0,(CADOLIVE!P_2_102.t CADOLIVE!MT))</f>
        <v>0</v>
      </c>
    </row>
    <row r="435" spans="1:4" ht="15">
      <c r="A435" s="30" t="s">
        <v>1261</v>
      </c>
      <c r="B435" s="53">
        <f>IF(ISTEXT((CADOLIVE!P_2_102.u CADOLIVE!Qté)),0,(CADOLIVE!P_2_102.u CADOLIVE!Qté))</f>
        <v>0</v>
      </c>
      <c r="C435" s="31">
        <f>(CADOLIVE!P_2_102.u CADOLIVE!PU)</f>
        <v>0</v>
      </c>
      <c r="D435" s="31">
        <f>IF(ISTEXT((CADOLIVE!P_2_102.u CADOLIVE!MT)),0,(CADOLIVE!P_2_102.u CADOLIVE!MT))</f>
        <v>0</v>
      </c>
    </row>
    <row r="436" spans="1:4" ht="15">
      <c r="A436" s="30" t="s">
        <v>1260</v>
      </c>
      <c r="B436" s="53">
        <f>IF(ISTEXT((CADOLIVE!P_2_102.v CADOLIVE!Qté)),0,(CADOLIVE!P_2_102.v CADOLIVE!Qté))</f>
        <v>0</v>
      </c>
      <c r="C436" s="31">
        <f>(CADOLIVE!P_2_102.v CADOLIVE!PU)</f>
        <v>0</v>
      </c>
      <c r="D436" s="31">
        <f>IF(ISTEXT((CADOLIVE!P_2_102.v CADOLIVE!MT)),0,(CADOLIVE!P_2_102.v CADOLIVE!MT))</f>
        <v>0</v>
      </c>
    </row>
    <row r="437" spans="1:4" ht="15">
      <c r="A437" s="30" t="s">
        <v>1259</v>
      </c>
      <c r="B437" s="53">
        <f>IF(ISTEXT((CADOLIVE!P_2_102.w CADOLIVE!Qté)),0,(CADOLIVE!P_2_102.w CADOLIVE!Qté))</f>
        <v>0</v>
      </c>
      <c r="C437" s="31">
        <f>(CADOLIVE!P_2_102.w CADOLIVE!PU)</f>
        <v>0</v>
      </c>
      <c r="D437" s="31">
        <f>IF(ISTEXT((CADOLIVE!P_2_102.w CADOLIVE!MT)),0,(CADOLIVE!P_2_102.w CADOLIVE!MT))</f>
        <v>0</v>
      </c>
    </row>
    <row r="438" spans="1:4" ht="15">
      <c r="A438" s="30" t="s">
        <v>1258</v>
      </c>
      <c r="B438" s="53">
        <f>IF(ISTEXT((CADOLIVE!P_2_102.x CADOLIVE!Qté)),0,(CADOLIVE!P_2_102.x CADOLIVE!Qté))</f>
        <v>0</v>
      </c>
      <c r="C438" s="31">
        <f>(CADOLIVE!P_2_102.x CADOLIVE!PU)</f>
        <v>0</v>
      </c>
      <c r="D438" s="31">
        <f>IF(ISTEXT((CADOLIVE!P_2_102.x CADOLIVE!MT)),0,(CADOLIVE!P_2_102.x CADOLIVE!MT))</f>
        <v>0</v>
      </c>
    </row>
    <row r="439" spans="1:4" ht="15">
      <c r="A439" s="30" t="s">
        <v>1257</v>
      </c>
      <c r="B439" s="53">
        <f>IF(ISTEXT((CADOLIVE!P_2_102.y CADOLIVE!Qté)),0,(CADOLIVE!P_2_102.y CADOLIVE!Qté))</f>
        <v>0</v>
      </c>
      <c r="C439" s="31">
        <f>(CADOLIVE!P_2_102.y CADOLIVE!PU)</f>
        <v>0</v>
      </c>
      <c r="D439" s="31">
        <f>IF(ISTEXT((CADOLIVE!P_2_102.y CADOLIVE!MT)),0,(CADOLIVE!P_2_102.y CADOLIVE!MT))</f>
        <v>0</v>
      </c>
    </row>
    <row r="440" spans="1:4" ht="15">
      <c r="A440" s="30" t="s">
        <v>1256</v>
      </c>
      <c r="B440" s="53">
        <f>IF(ISTEXT((CADOLIVE!P_2_102.z CADOLIVE!Qté)),0,(CADOLIVE!P_2_102.z CADOLIVE!Qté))</f>
        <v>0</v>
      </c>
      <c r="C440" s="31">
        <f>(CADOLIVE!P_2_102.z CADOLIVE!PU)</f>
        <v>0</v>
      </c>
      <c r="D440" s="31">
        <f>IF(ISTEXT((CADOLIVE!P_2_102.z CADOLIVE!MT)),0,(CADOLIVE!P_2_102.z CADOLIVE!MT))</f>
        <v>0</v>
      </c>
    </row>
    <row r="441" spans="1:4" ht="15">
      <c r="A441" s="30" t="s">
        <v>1844</v>
      </c>
      <c r="B441" s="53">
        <f>IF(ISTEXT((CADOLIVE!P_2_103.a CADOLIVE!Qté)),0,(CADOLIVE!P_2_103.a CADOLIVE!Qté))</f>
        <v>0</v>
      </c>
      <c r="C441" s="31">
        <f>(CADOLIVE!P_2_103.a CADOLIVE!PU)</f>
        <v>0</v>
      </c>
      <c r="D441" s="31">
        <f>IF(ISTEXT((CADOLIVE!P_2_103.a CADOLIVE!MT)),0,(CADOLIVE!P_2_103.a CADOLIVE!MT))</f>
        <v>0</v>
      </c>
    </row>
    <row r="442" spans="1:4" ht="15">
      <c r="A442" s="30" t="s">
        <v>1290</v>
      </c>
      <c r="B442" s="53">
        <f>IF(ISTEXT((CADOLIVE!P_2_103.b CADOLIVE!Qté)),0,(CADOLIVE!P_2_103.b CADOLIVE!Qté))</f>
        <v>0</v>
      </c>
      <c r="C442" s="31">
        <f>(CADOLIVE!P_2_103.b CADOLIVE!PU)</f>
        <v>0</v>
      </c>
      <c r="D442" s="31">
        <f>IF(ISTEXT((CADOLIVE!P_2_103.b CADOLIVE!MT)),0,(CADOLIVE!P_2_103.b CADOLIVE!MT))</f>
        <v>0</v>
      </c>
    </row>
    <row r="443" spans="1:4" ht="15">
      <c r="A443" s="30" t="s">
        <v>1289</v>
      </c>
      <c r="B443" s="53">
        <f>IF(ISTEXT((CADOLIVE!P_2_103.c CADOLIVE!Qté)),0,(CADOLIVE!P_2_103.c CADOLIVE!Qté))</f>
        <v>0</v>
      </c>
      <c r="C443" s="31">
        <f>(CADOLIVE!P_2_103.c CADOLIVE!PU)</f>
        <v>0</v>
      </c>
      <c r="D443" s="31">
        <f>IF(ISTEXT((CADOLIVE!P_2_103.c CADOLIVE!MT)),0,(CADOLIVE!P_2_103.c CADOLIVE!MT))</f>
        <v>0</v>
      </c>
    </row>
    <row r="444" spans="1:4" ht="15">
      <c r="A444" s="30" t="s">
        <v>1288</v>
      </c>
      <c r="B444" s="53">
        <f>IF(ISTEXT((CADOLIVE!P_2_103.d CADOLIVE!Qté)),0,(CADOLIVE!P_2_103.d CADOLIVE!Qté))</f>
        <v>0</v>
      </c>
      <c r="C444" s="31">
        <f>(CADOLIVE!P_2_103.d CADOLIVE!PU)</f>
        <v>0</v>
      </c>
      <c r="D444" s="31">
        <f>IF(ISTEXT((CADOLIVE!P_2_103.d CADOLIVE!MT)),0,(CADOLIVE!P_2_103.d CADOLIVE!MT))</f>
        <v>0</v>
      </c>
    </row>
    <row r="445" spans="1:4" ht="15">
      <c r="A445" s="30" t="s">
        <v>1287</v>
      </c>
      <c r="B445" s="53">
        <f>IF(ISTEXT((CADOLIVE!P_2_103.e CADOLIVE!Qté)),0,(CADOLIVE!P_2_103.e CADOLIVE!Qté))</f>
        <v>0</v>
      </c>
      <c r="C445" s="31">
        <f>(CADOLIVE!P_2_103.e CADOLIVE!PU)</f>
        <v>0</v>
      </c>
      <c r="D445" s="31">
        <f>IF(ISTEXT((CADOLIVE!P_2_103.e CADOLIVE!MT)),0,(CADOLIVE!P_2_103.e CADOLIVE!MT))</f>
        <v>0</v>
      </c>
    </row>
    <row r="446" spans="1:4" ht="15">
      <c r="A446" s="30" t="s">
        <v>1286</v>
      </c>
      <c r="B446" s="53">
        <f>IF(ISTEXT((CADOLIVE!P_2_103.f CADOLIVE!Qté)),0,(CADOLIVE!P_2_103.f CADOLIVE!Qté))</f>
        <v>0</v>
      </c>
      <c r="C446" s="31">
        <f>(CADOLIVE!P_2_103.f CADOLIVE!PU)</f>
        <v>0</v>
      </c>
      <c r="D446" s="31">
        <f>IF(ISTEXT((CADOLIVE!P_2_103.f CADOLIVE!MT)),0,(CADOLIVE!P_2_103.f CADOLIVE!MT))</f>
        <v>0</v>
      </c>
    </row>
    <row r="447" spans="1:4" ht="15">
      <c r="A447" s="30" t="s">
        <v>1845</v>
      </c>
      <c r="B447" s="53">
        <f>IF(ISTEXT((CADOLIVE!P_2_104.a CADOLIVE!Qté)),0,(CADOLIVE!P_2_104.a CADOLIVE!Qté))</f>
        <v>0</v>
      </c>
      <c r="C447" s="31">
        <f>(CADOLIVE!P_2_104.a CADOLIVE!PU)</f>
        <v>0</v>
      </c>
      <c r="D447" s="31">
        <f>IF(ISTEXT((CADOLIVE!P_2_104.a CADOLIVE!MT)),0,(CADOLIVE!P_2_104.a CADOLIVE!MT))</f>
        <v>0</v>
      </c>
    </row>
    <row r="448" spans="1:4" ht="15">
      <c r="A448" s="30" t="s">
        <v>1285</v>
      </c>
      <c r="B448" s="53">
        <f>IF(ISTEXT((CADOLIVE!P_2_104.b CADOLIVE!Qté)),0,(CADOLIVE!P_2_104.b CADOLIVE!Qté))</f>
        <v>0</v>
      </c>
      <c r="C448" s="31">
        <f>(CADOLIVE!P_2_104.b CADOLIVE!PU)</f>
        <v>0</v>
      </c>
      <c r="D448" s="31">
        <f>IF(ISTEXT((CADOLIVE!P_2_104.b CADOLIVE!MT)),0,(CADOLIVE!P_2_104.b CADOLIVE!MT))</f>
        <v>0</v>
      </c>
    </row>
    <row r="449" spans="1:4" ht="15">
      <c r="A449" s="30" t="s">
        <v>1284</v>
      </c>
      <c r="B449" s="53">
        <f>IF(ISTEXT((CADOLIVE!P_2_104.c CADOLIVE!Qté)),0,(CADOLIVE!P_2_104.c CADOLIVE!Qté))</f>
        <v>0</v>
      </c>
      <c r="C449" s="31">
        <f>(CADOLIVE!P_2_104.c CADOLIVE!PU)</f>
        <v>0</v>
      </c>
      <c r="D449" s="31">
        <f>IF(ISTEXT((CADOLIVE!P_2_104.c CADOLIVE!MT)),0,(CADOLIVE!P_2_104.c CADOLIVE!MT))</f>
        <v>0</v>
      </c>
    </row>
    <row r="450" spans="1:4" ht="15">
      <c r="A450" s="30" t="s">
        <v>1283</v>
      </c>
      <c r="B450" s="53">
        <f>IF(ISTEXT((CADOLIVE!P_2_104.d CADOLIVE!Qté)),0,(CADOLIVE!P_2_104.d CADOLIVE!Qté))</f>
        <v>0</v>
      </c>
      <c r="C450" s="31">
        <f>(CADOLIVE!P_2_104.d CADOLIVE!PU)</f>
        <v>0</v>
      </c>
      <c r="D450" s="31">
        <f>IF(ISTEXT((CADOLIVE!P_2_104.d CADOLIVE!MT)),0,(CADOLIVE!P_2_104.d CADOLIVE!MT))</f>
        <v>0</v>
      </c>
    </row>
    <row r="451" spans="1:4" ht="15">
      <c r="A451" s="30" t="s">
        <v>1282</v>
      </c>
      <c r="B451" s="53">
        <f>IF(ISTEXT((CADOLIVE!P_2_104.e CADOLIVE!Qté)),0,(CADOLIVE!P_2_104.e CADOLIVE!Qté))</f>
        <v>0</v>
      </c>
      <c r="C451" s="31">
        <f>(CADOLIVE!P_2_104.e CADOLIVE!PU)</f>
        <v>0</v>
      </c>
      <c r="D451" s="31">
        <f>IF(ISTEXT((CADOLIVE!P_2_104.e CADOLIVE!MT)),0,(CADOLIVE!P_2_104.e CADOLIVE!MT))</f>
        <v>0</v>
      </c>
    </row>
    <row r="452" spans="1:4" ht="15">
      <c r="A452" s="30" t="s">
        <v>1281</v>
      </c>
      <c r="B452" s="53">
        <f>IF(ISTEXT((CADOLIVE!P_2_104.f CADOLIVE!Qté)),0,(CADOLIVE!P_2_104.f CADOLIVE!Qté))</f>
        <v>0</v>
      </c>
      <c r="C452" s="31">
        <f>(CADOLIVE!P_2_104.f CADOLIVE!PU)</f>
        <v>0</v>
      </c>
      <c r="D452" s="31">
        <f>IF(ISTEXT((CADOLIVE!P_2_104.f CADOLIVE!MT)),0,(CADOLIVE!P_2_104.f CADOLIVE!MT))</f>
        <v>0</v>
      </c>
    </row>
    <row r="453" spans="1:4" ht="15">
      <c r="A453" s="30" t="s">
        <v>1010</v>
      </c>
      <c r="B453" s="53">
        <f>IF(ISTEXT((CADOLIVE!P_2_105 CADOLIVE!Qté)),0,(CADOLIVE!P_2_105 CADOLIVE!Qté))</f>
        <v>0</v>
      </c>
      <c r="C453" s="31">
        <f>(CADOLIVE!P_2_105 CADOLIVE!PU)</f>
        <v>0</v>
      </c>
      <c r="D453" s="31">
        <f>IF(ISTEXT((CADOLIVE!P_2_105 CADOLIVE!MT)),0,(CADOLIVE!P_2_105 CADOLIVE!MT))</f>
        <v>0</v>
      </c>
    </row>
    <row r="454" spans="1:4" ht="15">
      <c r="A454" s="30" t="s">
        <v>1011</v>
      </c>
      <c r="B454" s="53">
        <f>IF(ISTEXT((CADOLIVE!P_2_106 CADOLIVE!Qté)),0,(CADOLIVE!P_2_106 CADOLIVE!Qté))</f>
        <v>0</v>
      </c>
      <c r="C454" s="31">
        <f>(CADOLIVE!P_2_106 CADOLIVE!PU)</f>
        <v>0</v>
      </c>
      <c r="D454" s="31">
        <f>IF(ISTEXT((CADOLIVE!P_2_106 CADOLIVE!MT)),0,(CADOLIVE!P_2_106 CADOLIVE!MT))</f>
        <v>0</v>
      </c>
    </row>
    <row r="455" spans="1:4" ht="15">
      <c r="A455" s="30" t="s">
        <v>1012</v>
      </c>
      <c r="B455" s="53">
        <f>IF(ISTEXT((CADOLIVE!P_2_107 CADOLIVE!Qté)),0,(CADOLIVE!P_2_107 CADOLIVE!Qté))</f>
        <v>0</v>
      </c>
      <c r="C455" s="31">
        <f>(CADOLIVE!P_2_107 CADOLIVE!PU)</f>
        <v>0</v>
      </c>
      <c r="D455" s="31">
        <f>IF(ISTEXT((CADOLIVE!P_2_107 CADOLIVE!MT)),0,(CADOLIVE!P_2_107 CADOLIVE!MT))</f>
        <v>0</v>
      </c>
    </row>
    <row r="456" spans="1:4" ht="15">
      <c r="A456" s="30" t="s">
        <v>1846</v>
      </c>
      <c r="B456" s="53">
        <f>IF(ISTEXT((CADOLIVE!P_2_108.a CADOLIVE!Qté)),0,(CADOLIVE!P_2_108.a CADOLIVE!Qté))</f>
        <v>0</v>
      </c>
      <c r="C456" s="31">
        <f>(CADOLIVE!P_2_108.a CADOLIVE!PU)</f>
        <v>0</v>
      </c>
      <c r="D456" s="31">
        <f>IF(ISTEXT((CADOLIVE!P_2_108.a CADOLIVE!MT)),0,(CADOLIVE!P_2_108.a CADOLIVE!MT))</f>
        <v>0</v>
      </c>
    </row>
    <row r="457" spans="1:4" ht="15">
      <c r="A457" s="30" t="s">
        <v>1293</v>
      </c>
      <c r="B457" s="53">
        <f>IF(ISTEXT((CADOLIVE!P_2_108.b CADOLIVE!Qté)),0,(CADOLIVE!P_2_108.b CADOLIVE!Qté))</f>
        <v>0</v>
      </c>
      <c r="C457" s="31">
        <f>(CADOLIVE!P_2_108.b CADOLIVE!PU)</f>
        <v>0</v>
      </c>
      <c r="D457" s="31">
        <f>IF(ISTEXT((CADOLIVE!P_2_108.b CADOLIVE!MT)),0,(CADOLIVE!P_2_108.b CADOLIVE!MT))</f>
        <v>0</v>
      </c>
    </row>
    <row r="458" spans="1:4" ht="15">
      <c r="A458" s="30" t="s">
        <v>1292</v>
      </c>
      <c r="B458" s="53">
        <f>IF(ISTEXT((CADOLIVE!P_2_108.c CADOLIVE!Qté)),0,(CADOLIVE!P_2_108.c CADOLIVE!Qté))</f>
        <v>0</v>
      </c>
      <c r="C458" s="31">
        <f>(CADOLIVE!P_2_108.c CADOLIVE!PU)</f>
        <v>0</v>
      </c>
      <c r="D458" s="31">
        <f>IF(ISTEXT((CADOLIVE!P_2_108.c CADOLIVE!MT)),0,(CADOLIVE!P_2_108.c CADOLIVE!MT))</f>
        <v>0</v>
      </c>
    </row>
    <row r="459" spans="1:4" ht="15">
      <c r="A459" s="30" t="s">
        <v>1291</v>
      </c>
      <c r="B459" s="53">
        <f>IF(ISTEXT((CADOLIVE!P_2_108.d CADOLIVE!Qté)),0,(CADOLIVE!P_2_108.d CADOLIVE!Qté))</f>
        <v>0</v>
      </c>
      <c r="C459" s="31">
        <f>(CADOLIVE!P_2_108.d CADOLIVE!PU)</f>
        <v>0</v>
      </c>
      <c r="D459" s="31">
        <f>IF(ISTEXT((CADOLIVE!P_2_108.d CADOLIVE!MT)),0,(CADOLIVE!P_2_108.d CADOLIVE!MT))</f>
        <v>0</v>
      </c>
    </row>
    <row r="460" spans="1:4" ht="15">
      <c r="A460" s="30" t="s">
        <v>1847</v>
      </c>
      <c r="B460" s="53">
        <f>IF(ISTEXT((CADOLIVE!P_2_109.a CADOLIVE!Qté)),0,(CADOLIVE!P_2_109.a CADOLIVE!Qté))</f>
        <v>0</v>
      </c>
      <c r="C460" s="31">
        <f>(CADOLIVE!P_2_109.a CADOLIVE!PU)</f>
        <v>0</v>
      </c>
      <c r="D460" s="31">
        <f>IF(ISTEXT((CADOLIVE!P_2_109.a CADOLIVE!MT)),0,(CADOLIVE!P_2_109.a CADOLIVE!MT))</f>
        <v>0</v>
      </c>
    </row>
    <row r="461" spans="1:4" ht="15">
      <c r="A461" s="30" t="s">
        <v>1848</v>
      </c>
      <c r="B461" s="53">
        <f>IF(ISTEXT((CADOLIVE!P_2_109.b CADOLIVE!Qté)),0,(CADOLIVE!P_2_109.b CADOLIVE!Qté))</f>
        <v>0</v>
      </c>
      <c r="C461" s="31">
        <f>(CADOLIVE!P_2_109.b CADOLIVE!PU)</f>
        <v>0</v>
      </c>
      <c r="D461" s="31">
        <f>IF(ISTEXT((CADOLIVE!P_2_109.b CADOLIVE!MT)),0,(CADOLIVE!P_2_109.b CADOLIVE!MT))</f>
        <v>0</v>
      </c>
    </row>
    <row r="462" spans="1:4" ht="15">
      <c r="A462" s="30" t="s">
        <v>1849</v>
      </c>
      <c r="B462" s="53">
        <f>IF(ISTEXT((CADOLIVE!P_2_110.a CADOLIVE!Qté)),0,(CADOLIVE!P_2_110.a CADOLIVE!Qté))</f>
        <v>0</v>
      </c>
      <c r="C462" s="31">
        <f>(CADOLIVE!P_2_110.a CADOLIVE!PU)</f>
        <v>0</v>
      </c>
      <c r="D462" s="31">
        <f>IF(ISTEXT((CADOLIVE!P_2_110.a CADOLIVE!MT)),0,(CADOLIVE!P_2_110.a CADOLIVE!MT))</f>
        <v>0</v>
      </c>
    </row>
    <row r="463" spans="1:4" ht="15">
      <c r="A463" s="30" t="s">
        <v>1850</v>
      </c>
      <c r="B463" s="53">
        <f>IF(ISTEXT((CADOLIVE!P_2_110.b CADOLIVE!Qté)),0,(CADOLIVE!P_2_110.b CADOLIVE!Qté))</f>
        <v>0</v>
      </c>
      <c r="C463" s="31">
        <f>(CADOLIVE!P_2_110.b CADOLIVE!PU)</f>
        <v>0</v>
      </c>
      <c r="D463" s="31">
        <f>IF(ISTEXT((CADOLIVE!P_2_110.b CADOLIVE!MT)),0,(CADOLIVE!P_2_110.b CADOLIVE!MT))</f>
        <v>0</v>
      </c>
    </row>
    <row r="464" spans="1:4" ht="15">
      <c r="A464" s="30" t="s">
        <v>1379</v>
      </c>
      <c r="B464" s="53">
        <f>IF(ISTEXT((CADOLIVE!P_2_110.c CADOLIVE!Qté)),0,(CADOLIVE!P_2_110.c CADOLIVE!Qté))</f>
        <v>0</v>
      </c>
      <c r="C464" s="31">
        <f>(CADOLIVE!P_2_110.c CADOLIVE!PU)</f>
        <v>0</v>
      </c>
      <c r="D464" s="31">
        <f>IF(ISTEXT((CADOLIVE!P_2_110.c CADOLIVE!MT)),0,(CADOLIVE!P_2_110.c CADOLIVE!MT))</f>
        <v>0</v>
      </c>
    </row>
    <row r="465" spans="1:4" ht="15">
      <c r="A465" s="30" t="s">
        <v>1380</v>
      </c>
      <c r="B465" s="53">
        <f>IF(ISTEXT((CADOLIVE!P_2_110.d CADOLIVE!Qté)),0,(CADOLIVE!P_2_110.d CADOLIVE!Qté))</f>
        <v>0</v>
      </c>
      <c r="C465" s="31">
        <f>(CADOLIVE!P_2_110.d CADOLIVE!PU)</f>
        <v>0</v>
      </c>
      <c r="D465" s="31">
        <f>IF(ISTEXT((CADOLIVE!P_2_110.d CADOLIVE!MT)),0,(CADOLIVE!P_2_110.d CADOLIVE!MT))</f>
        <v>0</v>
      </c>
    </row>
    <row r="466" spans="1:4" ht="15">
      <c r="A466" s="30" t="s">
        <v>1381</v>
      </c>
      <c r="B466" s="53">
        <f>IF(ISTEXT((CADOLIVE!P_2_110.e CADOLIVE!Qté)),0,(CADOLIVE!P_2_110.e CADOLIVE!Qté))</f>
        <v>0</v>
      </c>
      <c r="C466" s="31">
        <f>(CADOLIVE!P_2_110.e CADOLIVE!PU)</f>
        <v>0</v>
      </c>
      <c r="D466" s="31">
        <f>IF(ISTEXT((CADOLIVE!P_2_110.e CADOLIVE!MT)),0,(CADOLIVE!P_2_110.e CADOLIVE!MT))</f>
        <v>0</v>
      </c>
    </row>
    <row r="467" spans="1:4" ht="15">
      <c r="A467" s="30" t="s">
        <v>1382</v>
      </c>
      <c r="B467" s="53">
        <f>IF(ISTEXT((CADOLIVE!P_2_110.f CADOLIVE!Qté)),0,(CADOLIVE!P_2_110.f CADOLIVE!Qté))</f>
        <v>0</v>
      </c>
      <c r="C467" s="31">
        <f>(CADOLIVE!P_2_110.f CADOLIVE!PU)</f>
        <v>0</v>
      </c>
      <c r="D467" s="31">
        <f>IF(ISTEXT((CADOLIVE!P_2_110.f CADOLIVE!MT)),0,(CADOLIVE!P_2_110.f CADOLIVE!MT))</f>
        <v>0</v>
      </c>
    </row>
    <row r="468" spans="1:4" ht="15">
      <c r="A468" s="30" t="s">
        <v>1851</v>
      </c>
      <c r="B468" s="53">
        <f>IF(ISTEXT((CADOLIVE!P_2_111.a CADOLIVE!Qté)),0,(CADOLIVE!P_2_111.a CADOLIVE!Qté))</f>
        <v>0</v>
      </c>
      <c r="C468" s="31">
        <f>(CADOLIVE!P_2_111.a CADOLIVE!PU)</f>
        <v>0</v>
      </c>
      <c r="D468" s="31">
        <f>IF(ISTEXT((CADOLIVE!P_2_111.a CADOLIVE!MT)),0,(CADOLIVE!P_2_111.a CADOLIVE!MT))</f>
        <v>0</v>
      </c>
    </row>
    <row r="469" spans="1:4" ht="15">
      <c r="A469" s="30" t="s">
        <v>1017</v>
      </c>
      <c r="B469" s="53">
        <f>IF(ISTEXT((CADOLIVE!P_2_112 CADOLIVE!Qté)),0,(CADOLIVE!P_2_112 CADOLIVE!Qté))</f>
        <v>0</v>
      </c>
      <c r="C469" s="31">
        <f>(CADOLIVE!P_2_112 CADOLIVE!PU)</f>
        <v>0</v>
      </c>
      <c r="D469" s="31">
        <f>IF(ISTEXT((CADOLIVE!P_2_112 CADOLIVE!MT)),0,(CADOLIVE!P_2_112 CADOLIVE!MT))</f>
        <v>0</v>
      </c>
    </row>
    <row r="470" spans="1:4" ht="15">
      <c r="A470" s="30" t="s">
        <v>1018</v>
      </c>
      <c r="B470" s="53">
        <f>IF(ISTEXT((CADOLIVE!P_2_113 CADOLIVE!Qté)),0,(CADOLIVE!P_2_113 CADOLIVE!Qté))</f>
        <v>0</v>
      </c>
      <c r="C470" s="31">
        <f>(CADOLIVE!P_2_113 CADOLIVE!PU)</f>
        <v>0</v>
      </c>
      <c r="D470" s="31">
        <f>IF(ISTEXT((CADOLIVE!P_2_113 CADOLIVE!MT)),0,(CADOLIVE!P_2_113 CADOLIVE!MT))</f>
        <v>0</v>
      </c>
    </row>
    <row r="471" spans="1:4" ht="15">
      <c r="A471" s="30" t="s">
        <v>1019</v>
      </c>
      <c r="B471" s="53">
        <f>IF(ISTEXT((CADOLIVE!P_2_114 CADOLIVE!Qté)),0,(CADOLIVE!P_2_114 CADOLIVE!Qté))</f>
        <v>0</v>
      </c>
      <c r="C471" s="31">
        <f>(CADOLIVE!P_2_114 CADOLIVE!PU)</f>
        <v>0</v>
      </c>
      <c r="D471" s="31">
        <f>IF(ISTEXT((CADOLIVE!P_2_114 CADOLIVE!MT)),0,(CADOLIVE!P_2_114 CADOLIVE!MT))</f>
        <v>0</v>
      </c>
    </row>
    <row r="472" spans="1:4" ht="15">
      <c r="A472" s="30" t="s">
        <v>1020</v>
      </c>
      <c r="B472" s="53">
        <f>IF(ISTEXT((CADOLIVE!P_2_115 CADOLIVE!Qté)),0,(CADOLIVE!P_2_115 CADOLIVE!Qté))</f>
        <v>0</v>
      </c>
      <c r="C472" s="31">
        <f>(CADOLIVE!P_2_115 CADOLIVE!PU)</f>
        <v>0</v>
      </c>
      <c r="D472" s="31">
        <f>IF(ISTEXT((CADOLIVE!P_2_115 CADOLIVE!MT)),0,(CADOLIVE!P_2_115 CADOLIVE!MT))</f>
        <v>0</v>
      </c>
    </row>
    <row r="473" spans="1:4" ht="15">
      <c r="A473" s="30" t="s">
        <v>1853</v>
      </c>
      <c r="B473" s="53">
        <f>IF(ISTEXT((CADOLIVE!P_2_116.a CADOLIVE!Qté)),0,(CADOLIVE!P_2_116.a CADOLIVE!Qté))</f>
        <v>0</v>
      </c>
      <c r="C473" s="31">
        <f>(CADOLIVE!P_2_116.a CADOLIVE!PU)</f>
        <v>0</v>
      </c>
      <c r="D473" s="31">
        <f>IF(ISTEXT((CADOLIVE!P_2_116.a CADOLIVE!MT)),0,(CADOLIVE!P_2_116.a CADOLIVE!MT))</f>
        <v>0</v>
      </c>
    </row>
    <row r="474" spans="1:4" ht="15">
      <c r="A474" s="30" t="s">
        <v>1022</v>
      </c>
      <c r="B474" s="53">
        <f>IF(ISTEXT((CADOLIVE!P_2_117 CADOLIVE!Qté)),0,(CADOLIVE!P_2_117 CADOLIVE!Qté))</f>
        <v>0</v>
      </c>
      <c r="C474" s="31">
        <f>(CADOLIVE!P_2_117 CADOLIVE!PU)</f>
        <v>0</v>
      </c>
      <c r="D474" s="31">
        <f>IF(ISTEXT((CADOLIVE!P_2_117 CADOLIVE!MT)),0,(CADOLIVE!P_2_117 CADOLIVE!MT))</f>
        <v>0</v>
      </c>
    </row>
    <row r="475" spans="1:4" ht="15">
      <c r="A475" s="30" t="s">
        <v>1023</v>
      </c>
      <c r="B475" s="53">
        <f>IF(ISTEXT((CADOLIVE!P_2_118 CADOLIVE!Qté)),0,(CADOLIVE!P_2_118 CADOLIVE!Qté))</f>
        <v>0</v>
      </c>
      <c r="C475" s="31">
        <f>(CADOLIVE!P_2_118 CADOLIVE!PU)</f>
        <v>0</v>
      </c>
      <c r="D475" s="31">
        <f>IF(ISTEXT((CADOLIVE!P_2_118 CADOLIVE!MT)),0,(CADOLIVE!P_2_118 CADOLIVE!MT))</f>
        <v>0</v>
      </c>
    </row>
    <row r="476" spans="1:4" ht="15">
      <c r="A476" s="30" t="s">
        <v>1024</v>
      </c>
      <c r="B476" s="53">
        <f>IF(ISTEXT((CADOLIVE!P_2_119 CADOLIVE!Qté)),0,(CADOLIVE!P_2_119 CADOLIVE!Qté))</f>
        <v>0</v>
      </c>
      <c r="C476" s="31">
        <f>(CADOLIVE!P_2_119 CADOLIVE!PU)</f>
        <v>0</v>
      </c>
      <c r="D476" s="31">
        <f>IF(ISTEXT((CADOLIVE!P_2_119 CADOLIVE!MT)),0,(CADOLIVE!P_2_119 CADOLIVE!MT))</f>
        <v>0</v>
      </c>
    </row>
    <row r="477" spans="1:4" ht="15">
      <c r="A477" s="30" t="s">
        <v>1025</v>
      </c>
      <c r="B477" s="53">
        <f>IF(ISTEXT((CADOLIVE!P_2_120 CADOLIVE!Qté)),0,(CADOLIVE!P_2_120 CADOLIVE!Qté))</f>
        <v>0</v>
      </c>
      <c r="C477" s="31">
        <f>(CADOLIVE!P_2_120 CADOLIVE!PU)</f>
        <v>0</v>
      </c>
      <c r="D477" s="31">
        <f>IF(ISTEXT((CADOLIVE!P_2_120 CADOLIVE!MT)),0,(CADOLIVE!P_2_120 CADOLIVE!MT))</f>
        <v>0</v>
      </c>
    </row>
    <row r="478" spans="1:4" ht="15">
      <c r="A478" s="30" t="s">
        <v>1026</v>
      </c>
      <c r="B478" s="53">
        <f>IF(ISTEXT((CADOLIVE!P_2_121 CADOLIVE!Qté)),0,(CADOLIVE!P_2_121 CADOLIVE!Qté))</f>
        <v>0</v>
      </c>
      <c r="C478" s="31">
        <f>(CADOLIVE!P_2_121 CADOLIVE!PU)</f>
        <v>0</v>
      </c>
      <c r="D478" s="31">
        <f>IF(ISTEXT((CADOLIVE!P_2_121 CADOLIVE!MT)),0,(CADOLIVE!P_2_121 CADOLIVE!MT))</f>
        <v>0</v>
      </c>
    </row>
    <row r="479" spans="1:4" ht="15">
      <c r="A479" s="30" t="s">
        <v>1027</v>
      </c>
      <c r="B479" s="53">
        <f>IF(ISTEXT((CADOLIVE!P_2_122 CADOLIVE!Qté)),0,(CADOLIVE!P_2_122 CADOLIVE!Qté))</f>
        <v>0</v>
      </c>
      <c r="C479" s="31">
        <f>(CADOLIVE!P_2_122 CADOLIVE!PU)</f>
        <v>0</v>
      </c>
      <c r="D479" s="31">
        <f>IF(ISTEXT((CADOLIVE!P_2_122 CADOLIVE!MT)),0,(CADOLIVE!P_2_122 CADOLIVE!MT))</f>
        <v>0</v>
      </c>
    </row>
    <row r="480" spans="1:4" ht="15">
      <c r="A480" s="30" t="s">
        <v>1028</v>
      </c>
      <c r="B480" s="53">
        <f>IF(ISTEXT((CADOLIVE!P_2_123 CADOLIVE!Qté)),0,(CADOLIVE!P_2_123 CADOLIVE!Qté))</f>
        <v>0</v>
      </c>
      <c r="C480" s="31">
        <f>(CADOLIVE!P_2_123 CADOLIVE!PU)</f>
        <v>0</v>
      </c>
      <c r="D480" s="31">
        <f>IF(ISTEXT((CADOLIVE!P_2_123 CADOLIVE!MT)),0,(CADOLIVE!P_2_123 CADOLIVE!MT))</f>
        <v>0</v>
      </c>
    </row>
    <row r="481" spans="1:4" ht="15">
      <c r="A481" s="30" t="s">
        <v>1029</v>
      </c>
      <c r="B481" s="53">
        <f>IF(ISTEXT((CADOLIVE!P_2_124 CADOLIVE!Qté)),0,(CADOLIVE!P_2_124 CADOLIVE!Qté))</f>
        <v>0</v>
      </c>
      <c r="C481" s="31">
        <f>(CADOLIVE!P_2_124 CADOLIVE!PU)</f>
        <v>0</v>
      </c>
      <c r="D481" s="31">
        <f>IF(ISTEXT((CADOLIVE!P_2_124 CADOLIVE!MT)),0,(CADOLIVE!P_2_124 CADOLIVE!MT))</f>
        <v>0</v>
      </c>
    </row>
    <row r="482" spans="1:4" ht="15">
      <c r="A482" s="30" t="s">
        <v>1030</v>
      </c>
      <c r="B482" s="53">
        <f>IF(ISTEXT((CADOLIVE!P_2_125 CADOLIVE!Qté)),0,(CADOLIVE!P_2_125 CADOLIVE!Qté))</f>
        <v>0</v>
      </c>
      <c r="C482" s="31">
        <f>(CADOLIVE!P_2_125 CADOLIVE!PU)</f>
        <v>0</v>
      </c>
      <c r="D482" s="31">
        <f>IF(ISTEXT((CADOLIVE!P_2_125 CADOLIVE!MT)),0,(CADOLIVE!P_2_125 CADOLIVE!MT))</f>
        <v>0</v>
      </c>
    </row>
    <row r="483" spans="1:4" ht="15">
      <c r="A483" s="30" t="s">
        <v>1031</v>
      </c>
      <c r="B483" s="53">
        <f>IF(ISTEXT((CADOLIVE!P_2_126 CADOLIVE!Qté)),0,(CADOLIVE!P_2_126 CADOLIVE!Qté))</f>
        <v>0</v>
      </c>
      <c r="C483" s="31">
        <f>(CADOLIVE!P_2_126 CADOLIVE!PU)</f>
        <v>0</v>
      </c>
      <c r="D483" s="31">
        <f>IF(ISTEXT((CADOLIVE!P_2_126 CADOLIVE!MT)),0,(CADOLIVE!P_2_126 CADOLIVE!MT))</f>
        <v>0</v>
      </c>
    </row>
    <row r="484" spans="1:4" ht="15">
      <c r="A484" s="30" t="s">
        <v>1032</v>
      </c>
      <c r="B484" s="53">
        <f>IF(ISTEXT((CADOLIVE!P_2_127 CADOLIVE!Qté)),0,(CADOLIVE!P_2_127 CADOLIVE!Qté))</f>
        <v>0</v>
      </c>
      <c r="C484" s="31">
        <f>(CADOLIVE!P_2_127 CADOLIVE!PU)</f>
        <v>0</v>
      </c>
      <c r="D484" s="31">
        <f>IF(ISTEXT((CADOLIVE!P_2_127 CADOLIVE!MT)),0,(CADOLIVE!P_2_127 CADOLIVE!MT))</f>
        <v>0</v>
      </c>
    </row>
    <row r="485" spans="1:4" ht="15">
      <c r="A485" s="30" t="s">
        <v>1033</v>
      </c>
      <c r="B485" s="53">
        <f>IF(ISTEXT((CADOLIVE!P_2_128 CADOLIVE!Qté)),0,(CADOLIVE!P_2_128 CADOLIVE!Qté))</f>
        <v>0</v>
      </c>
      <c r="C485" s="31">
        <f>(CADOLIVE!P_2_128 CADOLIVE!PU)</f>
        <v>0</v>
      </c>
      <c r="D485" s="31">
        <f>IF(ISTEXT((CADOLIVE!P_2_128 CADOLIVE!MT)),0,(CADOLIVE!P_2_128 CADOLIVE!MT))</f>
        <v>0</v>
      </c>
    </row>
    <row r="486" spans="1:4" ht="15">
      <c r="A486" s="30" t="s">
        <v>1034</v>
      </c>
      <c r="B486" s="53">
        <f>IF(ISTEXT((CADOLIVE!P_2_129 CADOLIVE!Qté)),0,(CADOLIVE!P_2_129 CADOLIVE!Qté))</f>
        <v>0</v>
      </c>
      <c r="C486" s="31">
        <f>(CADOLIVE!P_2_129 CADOLIVE!PU)</f>
        <v>0</v>
      </c>
      <c r="D486" s="31">
        <f>IF(ISTEXT((CADOLIVE!P_2_129 CADOLIVE!MT)),0,(CADOLIVE!P_2_129 CADOLIVE!MT))</f>
        <v>0</v>
      </c>
    </row>
    <row r="487" spans="1:4" ht="15">
      <c r="A487" s="30" t="s">
        <v>1035</v>
      </c>
      <c r="B487" s="53">
        <f>IF(ISTEXT((CADOLIVE!P_2_130 CADOLIVE!Qté)),0,(CADOLIVE!P_2_130 CADOLIVE!Qté))</f>
        <v>0</v>
      </c>
      <c r="C487" s="31">
        <f>(CADOLIVE!P_2_130 CADOLIVE!PU)</f>
        <v>0</v>
      </c>
      <c r="D487" s="31">
        <f>IF(ISTEXT((CADOLIVE!P_2_130 CADOLIVE!MT)),0,(CADOLIVE!P_2_130 CADOLIVE!MT))</f>
        <v>0</v>
      </c>
    </row>
    <row r="488" spans="1:4" ht="15">
      <c r="A488" s="30" t="s">
        <v>1036</v>
      </c>
      <c r="B488" s="53">
        <f>IF(ISTEXT((CADOLIVE!P_2_131 CADOLIVE!Qté)),0,(CADOLIVE!P_2_131 CADOLIVE!Qté))</f>
        <v>0</v>
      </c>
      <c r="C488" s="31">
        <f>(CADOLIVE!P_2_131 CADOLIVE!PU)</f>
        <v>0</v>
      </c>
      <c r="D488" s="31">
        <f>IF(ISTEXT((CADOLIVE!P_2_131 CADOLIVE!MT)),0,(CADOLIVE!P_2_131 CADOLIVE!MT))</f>
        <v>0</v>
      </c>
    </row>
    <row r="489" spans="1:4" ht="15">
      <c r="A489" s="30" t="s">
        <v>1037</v>
      </c>
      <c r="B489" s="53">
        <f>IF(ISTEXT((CADOLIVE!P_2_132 CADOLIVE!Qté)),0,(CADOLIVE!P_2_132 CADOLIVE!Qté))</f>
        <v>0</v>
      </c>
      <c r="C489" s="31">
        <f>(CADOLIVE!P_2_132 CADOLIVE!PU)</f>
        <v>0</v>
      </c>
      <c r="D489" s="31">
        <f>IF(ISTEXT((CADOLIVE!P_2_132 CADOLIVE!MT)),0,(CADOLIVE!P_2_132 CADOLIVE!MT))</f>
        <v>0</v>
      </c>
    </row>
    <row r="490" spans="1:4" ht="15">
      <c r="A490" s="30" t="s">
        <v>1038</v>
      </c>
      <c r="B490" s="53">
        <f>IF(ISTEXT((CADOLIVE!P_2_133 CADOLIVE!Qté)),0,(CADOLIVE!P_2_133 CADOLIVE!Qté))</f>
        <v>0</v>
      </c>
      <c r="C490" s="31">
        <f>(CADOLIVE!P_2_133 CADOLIVE!PU)</f>
        <v>0</v>
      </c>
      <c r="D490" s="31">
        <f>IF(ISTEXT((CADOLIVE!P_2_133 CADOLIVE!MT)),0,(CADOLIVE!P_2_133 CADOLIVE!MT))</f>
        <v>0</v>
      </c>
    </row>
    <row r="491" spans="1:4" ht="15">
      <c r="A491" s="30" t="s">
        <v>1294</v>
      </c>
      <c r="B491" s="53">
        <f>IF(ISTEXT((CADOLIVE!P_2_133.1 CADOLIVE!Qté)),0,(CADOLIVE!P_2_133.1 CADOLIVE!Qté))</f>
        <v>0</v>
      </c>
      <c r="C491" s="31">
        <f>(CADOLIVE!P_2_133.1 CADOLIVE!PU)</f>
        <v>0</v>
      </c>
      <c r="D491" s="31">
        <f>IF(ISTEXT((CADOLIVE!P_2_133.1 CADOLIVE!MT)),0,(CADOLIVE!P_2_133.1 CADOLIVE!MT))</f>
        <v>0</v>
      </c>
    </row>
    <row r="492" spans="1:4" ht="15">
      <c r="A492" s="30" t="s">
        <v>1039</v>
      </c>
      <c r="B492" s="53">
        <f>IF(ISTEXT((CADOLIVE!P_2_134 CADOLIVE!Qté)),0,(CADOLIVE!P_2_134 CADOLIVE!Qté))</f>
        <v>0</v>
      </c>
      <c r="C492" s="31">
        <f>(CADOLIVE!P_2_134 CADOLIVE!PU)</f>
        <v>0</v>
      </c>
      <c r="D492" s="31">
        <f>IF(ISTEXT((CADOLIVE!P_2_134 CADOLIVE!MT)),0,(CADOLIVE!P_2_134 CADOLIVE!MT))</f>
        <v>0</v>
      </c>
    </row>
    <row r="493" spans="1:4" ht="15">
      <c r="A493" s="30" t="s">
        <v>1040</v>
      </c>
      <c r="B493" s="53">
        <f>IF(ISTEXT((CADOLIVE!P_2_135 CADOLIVE!Qté)),0,(CADOLIVE!P_2_135 CADOLIVE!Qté))</f>
        <v>0</v>
      </c>
      <c r="C493" s="31">
        <f>(CADOLIVE!P_2_135 CADOLIVE!PU)</f>
        <v>0</v>
      </c>
      <c r="D493" s="31">
        <f>IF(ISTEXT((CADOLIVE!P_2_135 CADOLIVE!MT)),0,(CADOLIVE!P_2_135 CADOLIVE!MT))</f>
        <v>0</v>
      </c>
    </row>
    <row r="494" spans="1:4" ht="15">
      <c r="A494" s="30" t="s">
        <v>1041</v>
      </c>
      <c r="B494" s="53">
        <f>IF(ISTEXT((CADOLIVE!P_2_136 CADOLIVE!Qté)),0,(CADOLIVE!P_2_136 CADOLIVE!Qté))</f>
        <v>0</v>
      </c>
      <c r="C494" s="31">
        <f>(CADOLIVE!P_2_136 CADOLIVE!PU)</f>
        <v>0</v>
      </c>
      <c r="D494" s="31">
        <f>IF(ISTEXT((CADOLIVE!P_2_136 CADOLIVE!MT)),0,(CADOLIVE!P_2_136 CADOLIVE!MT))</f>
        <v>0</v>
      </c>
    </row>
    <row r="495" spans="1:4" ht="15">
      <c r="A495" s="30" t="s">
        <v>1042</v>
      </c>
      <c r="B495" s="53">
        <f>IF(ISTEXT((CADOLIVE!P_2_137 CADOLIVE!Qté)),0,(CADOLIVE!P_2_137 CADOLIVE!Qté))</f>
        <v>0</v>
      </c>
      <c r="C495" s="31">
        <f>(CADOLIVE!P_2_137 CADOLIVE!PU)</f>
        <v>0</v>
      </c>
      <c r="D495" s="31">
        <f>IF(ISTEXT((CADOLIVE!P_2_137 CADOLIVE!MT)),0,(CADOLIVE!P_2_137 CADOLIVE!MT))</f>
        <v>0</v>
      </c>
    </row>
    <row r="496" spans="1:4" ht="15">
      <c r="A496" s="30" t="s">
        <v>1043</v>
      </c>
      <c r="B496" s="53">
        <f>IF(ISTEXT((CADOLIVE!P_2_138 CADOLIVE!Qté)),0,(CADOLIVE!P_2_138 CADOLIVE!Qté))</f>
        <v>0</v>
      </c>
      <c r="C496" s="31">
        <f>(CADOLIVE!P_2_138 CADOLIVE!PU)</f>
        <v>0</v>
      </c>
      <c r="D496" s="31">
        <f>IF(ISTEXT((CADOLIVE!P_2_138 CADOLIVE!MT)),0,(CADOLIVE!P_2_138 CADOLIVE!MT))</f>
        <v>0</v>
      </c>
    </row>
    <row r="497" spans="1:4" ht="15">
      <c r="A497" s="30" t="s">
        <v>1044</v>
      </c>
      <c r="B497" s="53">
        <f>IF(ISTEXT((CADOLIVE!P_2_139 CADOLIVE!Qté)),0,(CADOLIVE!P_2_139 CADOLIVE!Qté))</f>
        <v>0</v>
      </c>
      <c r="C497" s="31">
        <f>(CADOLIVE!P_2_139 CADOLIVE!PU)</f>
        <v>0</v>
      </c>
      <c r="D497" s="31">
        <f>IF(ISTEXT((CADOLIVE!P_2_139 CADOLIVE!MT)),0,(CADOLIVE!P_2_139 CADOLIVE!MT))</f>
        <v>0</v>
      </c>
    </row>
    <row r="498" spans="1:4" ht="15">
      <c r="A498" s="30" t="s">
        <v>1045</v>
      </c>
      <c r="B498" s="53">
        <f>IF(ISTEXT((CADOLIVE!P_2_140 CADOLIVE!Qté)),0,(CADOLIVE!P_2_140 CADOLIVE!Qté))</f>
        <v>0</v>
      </c>
      <c r="C498" s="31">
        <f>(CADOLIVE!P_2_140 CADOLIVE!PU)</f>
        <v>0</v>
      </c>
      <c r="D498" s="31">
        <f>IF(ISTEXT((CADOLIVE!P_2_140 CADOLIVE!MT)),0,(CADOLIVE!P_2_140 CADOLIVE!MT))</f>
        <v>0</v>
      </c>
    </row>
    <row r="499" spans="1:4" ht="15">
      <c r="A499" s="30" t="s">
        <v>1046</v>
      </c>
      <c r="B499" s="53">
        <f>IF(ISTEXT((CADOLIVE!P_2_141 CADOLIVE!Qté)),0,(CADOLIVE!P_2_141 CADOLIVE!Qté))</f>
        <v>0</v>
      </c>
      <c r="C499" s="31">
        <f>(CADOLIVE!P_2_141 CADOLIVE!PU)</f>
        <v>0</v>
      </c>
      <c r="D499" s="31">
        <f>IF(ISTEXT((CADOLIVE!P_2_141 CADOLIVE!MT)),0,(CADOLIVE!P_2_141 CADOLIVE!MT))</f>
        <v>0</v>
      </c>
    </row>
    <row r="500" spans="1:4" ht="15">
      <c r="A500" s="30" t="s">
        <v>1047</v>
      </c>
      <c r="B500" s="53">
        <f>IF(ISTEXT((CADOLIVE!P_2_142 CADOLIVE!Qté)),0,(CADOLIVE!P_2_142 CADOLIVE!Qté))</f>
        <v>0</v>
      </c>
      <c r="C500" s="31">
        <f>(CADOLIVE!P_2_142 CADOLIVE!PU)</f>
        <v>0</v>
      </c>
      <c r="D500" s="31">
        <f>IF(ISTEXT((CADOLIVE!P_2_142 CADOLIVE!MT)),0,(CADOLIVE!P_2_142 CADOLIVE!MT))</f>
        <v>0</v>
      </c>
    </row>
    <row r="501" spans="1:4" ht="15">
      <c r="A501" s="30" t="s">
        <v>1048</v>
      </c>
      <c r="B501" s="53">
        <f>IF(ISTEXT((CADOLIVE!P_2_143 CADOLIVE!Qté)),0,(CADOLIVE!P_2_143 CADOLIVE!Qté))</f>
        <v>0</v>
      </c>
      <c r="C501" s="31">
        <f>(CADOLIVE!P_2_143 CADOLIVE!PU)</f>
        <v>0</v>
      </c>
      <c r="D501" s="31">
        <f>IF(ISTEXT((CADOLIVE!P_2_143 CADOLIVE!MT)),0,(CADOLIVE!P_2_143 CADOLIVE!MT))</f>
        <v>0</v>
      </c>
    </row>
    <row r="502" spans="1:4" ht="15">
      <c r="A502" s="30" t="s">
        <v>1049</v>
      </c>
      <c r="B502" s="53">
        <f>IF(ISTEXT((CADOLIVE!P_2_144 CADOLIVE!Qté)),0,(CADOLIVE!P_2_144 CADOLIVE!Qté))</f>
        <v>0</v>
      </c>
      <c r="C502" s="31">
        <f>(CADOLIVE!P_2_144 CADOLIVE!PU)</f>
        <v>0</v>
      </c>
      <c r="D502" s="31">
        <f>IF(ISTEXT((CADOLIVE!P_2_144 CADOLIVE!MT)),0,(CADOLIVE!P_2_144 CADOLIVE!MT))</f>
        <v>0</v>
      </c>
    </row>
    <row r="503" spans="1:4" ht="15">
      <c r="A503" s="30" t="s">
        <v>1050</v>
      </c>
      <c r="B503" s="53">
        <f>IF(ISTEXT((CADOLIVE!P_2_145 CADOLIVE!Qté)),0,(CADOLIVE!P_2_145 CADOLIVE!Qté))</f>
        <v>0</v>
      </c>
      <c r="C503" s="31">
        <f>(CADOLIVE!P_2_145 CADOLIVE!PU)</f>
        <v>0</v>
      </c>
      <c r="D503" s="31">
        <f>IF(ISTEXT((CADOLIVE!P_2_145 CADOLIVE!MT)),0,(CADOLIVE!P_2_145 CADOLIVE!MT))</f>
        <v>0</v>
      </c>
    </row>
    <row r="504" spans="1:4" ht="15">
      <c r="A504" s="30" t="s">
        <v>1051</v>
      </c>
      <c r="B504" s="53">
        <f>IF(ISTEXT((CADOLIVE!P_2_146 CADOLIVE!Qté)),0,(CADOLIVE!P_2_146 CADOLIVE!Qté))</f>
        <v>0</v>
      </c>
      <c r="C504" s="31">
        <f>(CADOLIVE!P_2_146 CADOLIVE!PU)</f>
        <v>0</v>
      </c>
      <c r="D504" s="31">
        <f>IF(ISTEXT((CADOLIVE!P_2_146 CADOLIVE!MT)),0,(CADOLIVE!P_2_146 CADOLIVE!MT))</f>
        <v>0</v>
      </c>
    </row>
    <row r="505" spans="1:4" ht="15">
      <c r="A505" s="30" t="s">
        <v>1052</v>
      </c>
      <c r="B505" s="53">
        <f>IF(ISTEXT((CADOLIVE!P_2_147 CADOLIVE!Qté)),0,(CADOLIVE!P_2_147 CADOLIVE!Qté))</f>
        <v>0</v>
      </c>
      <c r="C505" s="31">
        <f>(CADOLIVE!P_2_147 CADOLIVE!PU)</f>
        <v>0</v>
      </c>
      <c r="D505" s="31">
        <f>IF(ISTEXT((CADOLIVE!P_2_147 CADOLIVE!MT)),0,(CADOLIVE!P_2_147 CADOLIVE!MT))</f>
        <v>0</v>
      </c>
    </row>
    <row r="506" spans="1:4" ht="15">
      <c r="A506" s="30" t="s">
        <v>1053</v>
      </c>
      <c r="B506" s="53">
        <f>IF(ISTEXT((CADOLIVE!P_2_148 CADOLIVE!Qté)),0,(CADOLIVE!P_2_148 CADOLIVE!Qté))</f>
        <v>0</v>
      </c>
      <c r="C506" s="31">
        <f>(CADOLIVE!P_2_148 CADOLIVE!PU)</f>
        <v>0</v>
      </c>
      <c r="D506" s="31">
        <f>IF(ISTEXT((CADOLIVE!P_2_148 CADOLIVE!MT)),0,(CADOLIVE!P_2_148 CADOLIVE!MT))</f>
        <v>0</v>
      </c>
    </row>
    <row r="507" spans="1:4" ht="15">
      <c r="A507" s="30" t="s">
        <v>1054</v>
      </c>
      <c r="B507" s="53">
        <f>IF(ISTEXT((CADOLIVE!P_2_149 CADOLIVE!Qté)),0,(CADOLIVE!P_2_149 CADOLIVE!Qté))</f>
        <v>0</v>
      </c>
      <c r="C507" s="31">
        <f>(CADOLIVE!P_2_149 CADOLIVE!PU)</f>
        <v>0</v>
      </c>
      <c r="D507" s="31">
        <f>IF(ISTEXT((CADOLIVE!P_2_149 CADOLIVE!MT)),0,(CADOLIVE!P_2_149 CADOLIVE!MT))</f>
        <v>0</v>
      </c>
    </row>
    <row r="508" spans="1:4" ht="15">
      <c r="A508" s="30" t="s">
        <v>1055</v>
      </c>
      <c r="B508" s="53">
        <f>IF(ISTEXT((CADOLIVE!P_2_150 CADOLIVE!Qté)),0,(CADOLIVE!P_2_150 CADOLIVE!Qté))</f>
        <v>0</v>
      </c>
      <c r="C508" s="31">
        <f>(CADOLIVE!P_2_150 CADOLIVE!PU)</f>
        <v>0</v>
      </c>
      <c r="D508" s="31">
        <f>IF(ISTEXT((CADOLIVE!P_2_150 CADOLIVE!MT)),0,(CADOLIVE!P_2_150 CADOLIVE!MT))</f>
        <v>0</v>
      </c>
    </row>
    <row r="509" spans="1:4" ht="15">
      <c r="A509" s="30" t="s">
        <v>1056</v>
      </c>
      <c r="B509" s="53">
        <f>IF(ISTEXT((CADOLIVE!P_2_151 CADOLIVE!Qté)),0,(CADOLIVE!P_2_151 CADOLIVE!Qté))</f>
        <v>0</v>
      </c>
      <c r="C509" s="31">
        <f>(CADOLIVE!P_2_151 CADOLIVE!PU)</f>
        <v>0</v>
      </c>
      <c r="D509" s="31">
        <f>IF(ISTEXT((CADOLIVE!P_2_151 CADOLIVE!MT)),0,(CADOLIVE!P_2_151 CADOLIVE!MT))</f>
        <v>0</v>
      </c>
    </row>
    <row r="510" spans="1:4" ht="15">
      <c r="A510" s="30" t="s">
        <v>1057</v>
      </c>
      <c r="B510" s="53">
        <f>IF(ISTEXT((CADOLIVE!P_2_152 CADOLIVE!Qté)),0,(CADOLIVE!P_2_152 CADOLIVE!Qté))</f>
        <v>0</v>
      </c>
      <c r="C510" s="31">
        <f>(CADOLIVE!P_2_152 CADOLIVE!PU)</f>
        <v>0</v>
      </c>
      <c r="D510" s="31">
        <f>IF(ISTEXT((CADOLIVE!P_2_152 CADOLIVE!MT)),0,(CADOLIVE!P_2_152 CADOLIVE!MT))</f>
        <v>0</v>
      </c>
    </row>
    <row r="511" spans="1:4" ht="15">
      <c r="A511" s="30" t="s">
        <v>1366</v>
      </c>
      <c r="B511" s="53">
        <f>IF(ISTEXT((CADOLIVE!P_2_152.1 CADOLIVE!Qté)),0,(CADOLIVE!P_2_152.1 CADOLIVE!Qté))</f>
        <v>0</v>
      </c>
      <c r="C511" s="31">
        <f>(CADOLIVE!P_2_152.1 CADOLIVE!PU)</f>
        <v>0</v>
      </c>
      <c r="D511" s="31">
        <f>IF(ISTEXT((CADOLIVE!P_2_152.1 CADOLIVE!MT)),0,(CADOLIVE!P_2_152.1 CADOLIVE!MT))</f>
        <v>0</v>
      </c>
    </row>
    <row r="512" spans="1:4" ht="15">
      <c r="A512" s="30" t="s">
        <v>1367</v>
      </c>
      <c r="B512" s="53">
        <f>IF(ISTEXT((CADOLIVE!P_2_152.2 CADOLIVE!Qté)),0,(CADOLIVE!P_2_152.2 CADOLIVE!Qté))</f>
        <v>0</v>
      </c>
      <c r="C512" s="31">
        <f>(CADOLIVE!P_2_152.2 CADOLIVE!PU)</f>
        <v>0</v>
      </c>
      <c r="D512" s="31">
        <f>IF(ISTEXT((CADOLIVE!P_2_152.2 CADOLIVE!MT)),0,(CADOLIVE!P_2_152.2 CADOLIVE!MT))</f>
        <v>0</v>
      </c>
    </row>
    <row r="513" spans="1:4" ht="15">
      <c r="A513" s="30" t="s">
        <v>1058</v>
      </c>
      <c r="B513" s="53">
        <f>IF(ISTEXT((CADOLIVE!P_2_153 CADOLIVE!Qté)),0,(CADOLIVE!P_2_153 CADOLIVE!Qté))</f>
        <v>0</v>
      </c>
      <c r="C513" s="31">
        <f>(CADOLIVE!P_2_153 CADOLIVE!PU)</f>
        <v>0</v>
      </c>
      <c r="D513" s="31">
        <f>IF(ISTEXT((CADOLIVE!P_2_153 CADOLIVE!MT)),0,(CADOLIVE!P_2_153 CADOLIVE!MT))</f>
        <v>0</v>
      </c>
    </row>
    <row r="514" spans="1:4" ht="15">
      <c r="A514" s="30" t="s">
        <v>1059</v>
      </c>
      <c r="B514" s="53">
        <f>IF(ISTEXT((CADOLIVE!P_2_154 CADOLIVE!Qté)),0,(CADOLIVE!P_2_154 CADOLIVE!Qté))</f>
        <v>0</v>
      </c>
      <c r="C514" s="31">
        <f>(CADOLIVE!P_2_154 CADOLIVE!PU)</f>
        <v>0</v>
      </c>
      <c r="D514" s="31">
        <f>IF(ISTEXT((CADOLIVE!P_2_154 CADOLIVE!MT)),0,(CADOLIVE!P_2_154 CADOLIVE!MT))</f>
        <v>0</v>
      </c>
    </row>
    <row r="515" spans="1:4" ht="15">
      <c r="A515" s="30" t="s">
        <v>1060</v>
      </c>
      <c r="B515" s="53">
        <f>IF(ISTEXT((CADOLIVE!P_2_155 CADOLIVE!Qté)),0,(CADOLIVE!P_2_155 CADOLIVE!Qté))</f>
        <v>0</v>
      </c>
      <c r="C515" s="31">
        <f>(CADOLIVE!P_2_155 CADOLIVE!PU)</f>
        <v>0</v>
      </c>
      <c r="D515" s="31">
        <f>IF(ISTEXT((CADOLIVE!P_2_155 CADOLIVE!MT)),0,(CADOLIVE!P_2_155 CADOLIVE!MT))</f>
        <v>0</v>
      </c>
    </row>
    <row r="516" spans="1:4" ht="15">
      <c r="A516" s="30" t="s">
        <v>1061</v>
      </c>
      <c r="B516" s="53">
        <f>IF(ISTEXT((CADOLIVE!P_2_156 CADOLIVE!Qté)),0,(CADOLIVE!P_2_156 CADOLIVE!Qté))</f>
        <v>0</v>
      </c>
      <c r="C516" s="31">
        <f>(CADOLIVE!P_2_156 CADOLIVE!PU)</f>
        <v>0</v>
      </c>
      <c r="D516" s="31">
        <f>IF(ISTEXT((CADOLIVE!P_2_156 CADOLIVE!MT)),0,(CADOLIVE!P_2_156 CADOLIVE!MT))</f>
        <v>0</v>
      </c>
    </row>
    <row r="517" spans="1:4" ht="15">
      <c r="A517" s="30" t="s">
        <v>1062</v>
      </c>
      <c r="B517" s="53">
        <f>IF(ISTEXT((CADOLIVE!P_2_157 CADOLIVE!Qté)),0,(CADOLIVE!P_2_157 CADOLIVE!Qté))</f>
        <v>0</v>
      </c>
      <c r="C517" s="31">
        <f>(CADOLIVE!P_2_157 CADOLIVE!PU)</f>
        <v>0</v>
      </c>
      <c r="D517" s="31">
        <f>IF(ISTEXT((CADOLIVE!P_2_157 CADOLIVE!MT)),0,(CADOLIVE!P_2_157 CADOLIVE!MT))</f>
        <v>0</v>
      </c>
    </row>
    <row r="518" spans="1:4" ht="15">
      <c r="A518" s="30" t="s">
        <v>1063</v>
      </c>
      <c r="B518" s="53">
        <f>IF(ISTEXT((CADOLIVE!P_2_158 CADOLIVE!Qté)),0,(CADOLIVE!P_2_158 CADOLIVE!Qté))</f>
        <v>0</v>
      </c>
      <c r="C518" s="31">
        <f>(CADOLIVE!P_2_158 CADOLIVE!PU)</f>
        <v>0</v>
      </c>
      <c r="D518" s="31">
        <f>IF(ISTEXT((CADOLIVE!P_2_158 CADOLIVE!MT)),0,(CADOLIVE!P_2_158 CADOLIVE!MT))</f>
        <v>0</v>
      </c>
    </row>
    <row r="519" spans="1:4" ht="15">
      <c r="A519" s="30" t="s">
        <v>1064</v>
      </c>
      <c r="B519" s="53">
        <f>IF(ISTEXT((CADOLIVE!P_2_159 CADOLIVE!Qté)),0,(CADOLIVE!P_2_159 CADOLIVE!Qté))</f>
        <v>0</v>
      </c>
      <c r="C519" s="31">
        <f>(CADOLIVE!P_2_159 CADOLIVE!PU)</f>
        <v>0</v>
      </c>
      <c r="D519" s="31">
        <f>IF(ISTEXT((CADOLIVE!P_2_159 CADOLIVE!MT)),0,(CADOLIVE!P_2_159 CADOLIVE!MT))</f>
        <v>0</v>
      </c>
    </row>
    <row r="520" spans="1:4" ht="15">
      <c r="A520" s="30" t="s">
        <v>1065</v>
      </c>
      <c r="B520" s="53">
        <f>IF(ISTEXT((CADOLIVE!P_2_160 CADOLIVE!Qté)),0,(CADOLIVE!P_2_160 CADOLIVE!Qté))</f>
        <v>0</v>
      </c>
      <c r="C520" s="31">
        <f>(CADOLIVE!P_2_160 CADOLIVE!PU)</f>
        <v>0</v>
      </c>
      <c r="D520" s="31">
        <f>IF(ISTEXT((CADOLIVE!P_2_160 CADOLIVE!MT)),0,(CADOLIVE!P_2_160 CADOLIVE!MT))</f>
        <v>0</v>
      </c>
    </row>
    <row r="521" spans="1:4" ht="15">
      <c r="A521" s="30" t="s">
        <v>1066</v>
      </c>
      <c r="B521" s="53">
        <f>IF(ISTEXT((CADOLIVE!P_2_161 CADOLIVE!Qté)),0,(CADOLIVE!P_2_161 CADOLIVE!Qté))</f>
        <v>0</v>
      </c>
      <c r="C521" s="31">
        <f>(CADOLIVE!P_2_161 CADOLIVE!PU)</f>
        <v>0</v>
      </c>
      <c r="D521" s="31">
        <f>IF(ISTEXT((CADOLIVE!P_2_161 CADOLIVE!MT)),0,(CADOLIVE!P_2_161 CADOLIVE!MT))</f>
        <v>0</v>
      </c>
    </row>
    <row r="522" spans="1:4" ht="15">
      <c r="A522" s="30" t="s">
        <v>1067</v>
      </c>
      <c r="B522" s="53">
        <f>IF(ISTEXT((CADOLIVE!P_2_162 CADOLIVE!Qté)),0,(CADOLIVE!P_2_162 CADOLIVE!Qté))</f>
        <v>0</v>
      </c>
      <c r="C522" s="31">
        <f>(CADOLIVE!P_2_162 CADOLIVE!PU)</f>
        <v>0</v>
      </c>
      <c r="D522" s="31">
        <f>IF(ISTEXT((CADOLIVE!P_2_162 CADOLIVE!MT)),0,(CADOLIVE!P_2_162 CADOLIVE!MT))</f>
        <v>0</v>
      </c>
    </row>
    <row r="523" spans="1:4" ht="15">
      <c r="A523" s="30" t="s">
        <v>1068</v>
      </c>
      <c r="B523" s="53">
        <f>IF(ISTEXT((CADOLIVE!P_2_163 CADOLIVE!Qté)),0,(CADOLIVE!P_2_163 CADOLIVE!Qté))</f>
        <v>0</v>
      </c>
      <c r="C523" s="31">
        <f>(CADOLIVE!P_2_163 CADOLIVE!PU)</f>
        <v>0</v>
      </c>
      <c r="D523" s="31">
        <f>IF(ISTEXT((CADOLIVE!P_2_163 CADOLIVE!MT)),0,(CADOLIVE!P_2_163 CADOLIVE!MT))</f>
        <v>0</v>
      </c>
    </row>
    <row r="524" spans="1:4" ht="15">
      <c r="A524" s="30" t="s">
        <v>1069</v>
      </c>
      <c r="B524" s="53">
        <f>IF(ISTEXT((CADOLIVE!P_2_164 CADOLIVE!Qté)),0,(CADOLIVE!P_2_164 CADOLIVE!Qté))</f>
        <v>0</v>
      </c>
      <c r="C524" s="31">
        <f>(CADOLIVE!P_2_164 CADOLIVE!PU)</f>
        <v>0</v>
      </c>
      <c r="D524" s="31">
        <f>IF(ISTEXT((CADOLIVE!P_2_164 CADOLIVE!MT)),0,(CADOLIVE!P_2_164 CADOLIVE!MT))</f>
        <v>0</v>
      </c>
    </row>
    <row r="525" spans="1:4" ht="15">
      <c r="A525" s="30" t="s">
        <v>1070</v>
      </c>
      <c r="B525" s="53">
        <f>IF(ISTEXT((CADOLIVE!P_2_165 CADOLIVE!Qté)),0,(CADOLIVE!P_2_165 CADOLIVE!Qté))</f>
        <v>0</v>
      </c>
      <c r="C525" s="31">
        <f>(CADOLIVE!P_2_165 CADOLIVE!PU)</f>
        <v>0</v>
      </c>
      <c r="D525" s="31">
        <f>IF(ISTEXT((CADOLIVE!P_2_165 CADOLIVE!MT)),0,(CADOLIVE!P_2_165 CADOLIVE!MT))</f>
        <v>0</v>
      </c>
    </row>
    <row r="526" spans="1:4" ht="15">
      <c r="A526" s="30" t="s">
        <v>1071</v>
      </c>
      <c r="B526" s="53">
        <f>IF(ISTEXT((CADOLIVE!P_2_166 CADOLIVE!Qté)),0,(CADOLIVE!P_2_166 CADOLIVE!Qté))</f>
        <v>0</v>
      </c>
      <c r="C526" s="31">
        <f>(CADOLIVE!P_2_166 CADOLIVE!PU)</f>
        <v>0</v>
      </c>
      <c r="D526" s="31">
        <f>IF(ISTEXT((CADOLIVE!P_2_166 CADOLIVE!MT)),0,(CADOLIVE!P_2_166 CADOLIVE!MT))</f>
        <v>0</v>
      </c>
    </row>
    <row r="527" spans="1:4" ht="15">
      <c r="A527" s="30" t="s">
        <v>1072</v>
      </c>
      <c r="B527" s="53">
        <f>IF(ISTEXT((CADOLIVE!P_2_167 CADOLIVE!Qté)),0,(CADOLIVE!P_2_167 CADOLIVE!Qté))</f>
        <v>0</v>
      </c>
      <c r="C527" s="31">
        <f>(CADOLIVE!P_2_167 CADOLIVE!PU)</f>
        <v>0</v>
      </c>
      <c r="D527" s="31">
        <f>IF(ISTEXT((CADOLIVE!P_2_167 CADOLIVE!MT)),0,(CADOLIVE!P_2_167 CADOLIVE!MT))</f>
        <v>0</v>
      </c>
    </row>
    <row r="528" spans="1:4" ht="15">
      <c r="A528" s="30" t="s">
        <v>1073</v>
      </c>
      <c r="B528" s="53">
        <f>IF(ISTEXT((CADOLIVE!P_2_168 CADOLIVE!Qté)),0,(CADOLIVE!P_2_168 CADOLIVE!Qté))</f>
        <v>0</v>
      </c>
      <c r="C528" s="31">
        <f>(CADOLIVE!P_2_168 CADOLIVE!PU)</f>
        <v>0</v>
      </c>
      <c r="D528" s="31">
        <f>IF(ISTEXT((CADOLIVE!P_2_168 CADOLIVE!MT)),0,(CADOLIVE!P_2_168 CADOLIVE!MT))</f>
        <v>0</v>
      </c>
    </row>
    <row r="529" spans="1:4" ht="15">
      <c r="A529" s="30" t="s">
        <v>1074</v>
      </c>
      <c r="B529" s="53">
        <f>IF(ISTEXT((CADOLIVE!P_2_169 CADOLIVE!Qté)),0,(CADOLIVE!P_2_169 CADOLIVE!Qté))</f>
        <v>0</v>
      </c>
      <c r="C529" s="31">
        <f>(CADOLIVE!P_2_169 CADOLIVE!PU)</f>
        <v>0</v>
      </c>
      <c r="D529" s="31">
        <f>IF(ISTEXT((CADOLIVE!P_2_169 CADOLIVE!MT)),0,(CADOLIVE!P_2_169 CADOLIVE!MT))</f>
        <v>0</v>
      </c>
    </row>
    <row r="530" spans="1:4" ht="15">
      <c r="A530" s="30" t="s">
        <v>1075</v>
      </c>
      <c r="B530" s="53">
        <f>IF(ISTEXT((CADOLIVE!P_2_170 CADOLIVE!Qté)),0,(CADOLIVE!P_2_170 CADOLIVE!Qté))</f>
        <v>0</v>
      </c>
      <c r="C530" s="31">
        <f>(CADOLIVE!P_2_170 CADOLIVE!PU)</f>
        <v>0</v>
      </c>
      <c r="D530" s="31">
        <f>IF(ISTEXT((CADOLIVE!P_2_170 CADOLIVE!MT)),0,(CADOLIVE!P_2_170 CADOLIVE!MT))</f>
        <v>0</v>
      </c>
    </row>
    <row r="531" spans="1:4" ht="15">
      <c r="A531" s="30" t="s">
        <v>1076</v>
      </c>
      <c r="B531" s="53">
        <f>IF(ISTEXT((CADOLIVE!P_2_171 CADOLIVE!Qté)),0,(CADOLIVE!P_2_171 CADOLIVE!Qté))</f>
        <v>0</v>
      </c>
      <c r="C531" s="31">
        <f>(CADOLIVE!P_2_171 CADOLIVE!PU)</f>
        <v>0</v>
      </c>
      <c r="D531" s="31">
        <f>IF(ISTEXT((CADOLIVE!P_2_171 CADOLIVE!MT)),0,(CADOLIVE!P_2_171 CADOLIVE!MT))</f>
        <v>0</v>
      </c>
    </row>
    <row r="532" spans="1:4" ht="15">
      <c r="A532" s="30" t="s">
        <v>1077</v>
      </c>
      <c r="B532" s="53">
        <f>IF(ISTEXT((CADOLIVE!P_2_172 CADOLIVE!Qté)),0,(CADOLIVE!P_2_172 CADOLIVE!Qté))</f>
        <v>0</v>
      </c>
      <c r="C532" s="31">
        <f>(CADOLIVE!P_2_172 CADOLIVE!PU)</f>
        <v>0</v>
      </c>
      <c r="D532" s="31">
        <f>IF(ISTEXT((CADOLIVE!P_2_172 CADOLIVE!MT)),0,(CADOLIVE!P_2_172 CADOLIVE!MT))</f>
        <v>0</v>
      </c>
    </row>
    <row r="533" spans="1:4" ht="15">
      <c r="A533" s="30" t="s">
        <v>1078</v>
      </c>
      <c r="B533" s="53">
        <f>IF(ISTEXT((CADOLIVE!P_2_173 CADOLIVE!Qté)),0,(CADOLIVE!P_2_173 CADOLIVE!Qté))</f>
        <v>0</v>
      </c>
      <c r="C533" s="31">
        <f>(CADOLIVE!P_2_173 CADOLIVE!PU)</f>
        <v>0</v>
      </c>
      <c r="D533" s="31">
        <f>IF(ISTEXT((CADOLIVE!P_2_173 CADOLIVE!MT)),0,(CADOLIVE!P_2_173 CADOLIVE!MT))</f>
        <v>0</v>
      </c>
    </row>
    <row r="534" spans="1:4" ht="15">
      <c r="A534" s="30" t="s">
        <v>1079</v>
      </c>
      <c r="B534" s="53">
        <f>IF(ISTEXT((CADOLIVE!P_2_174 CADOLIVE!Qté)),0,(CADOLIVE!P_2_174 CADOLIVE!Qté))</f>
        <v>0</v>
      </c>
      <c r="C534" s="31">
        <f>(CADOLIVE!P_2_174 CADOLIVE!PU)</f>
        <v>0</v>
      </c>
      <c r="D534" s="31">
        <f>IF(ISTEXT((CADOLIVE!P_2_174 CADOLIVE!MT)),0,(CADOLIVE!P_2_174 CADOLIVE!MT))</f>
        <v>0</v>
      </c>
    </row>
    <row r="535" spans="1:4" ht="15">
      <c r="A535" s="30" t="s">
        <v>1080</v>
      </c>
      <c r="B535" s="53">
        <f>IF(ISTEXT((CADOLIVE!P_2_175 CADOLIVE!Qté)),0,(CADOLIVE!P_2_175 CADOLIVE!Qté))</f>
        <v>0</v>
      </c>
      <c r="C535" s="31">
        <f>(CADOLIVE!P_2_175 CADOLIVE!PU)</f>
        <v>0</v>
      </c>
      <c r="D535" s="31">
        <f>IF(ISTEXT((CADOLIVE!P_2_175 CADOLIVE!MT)),0,(CADOLIVE!P_2_175 CADOLIVE!MT))</f>
        <v>0</v>
      </c>
    </row>
    <row r="536" spans="1:4" ht="15">
      <c r="A536" s="30" t="s">
        <v>1081</v>
      </c>
      <c r="B536" s="53">
        <f>IF(ISTEXT((CADOLIVE!P_2_176 CADOLIVE!Qté)),0,(CADOLIVE!P_2_176 CADOLIVE!Qté))</f>
        <v>0</v>
      </c>
      <c r="C536" s="31">
        <f>(CADOLIVE!P_2_176 CADOLIVE!PU)</f>
        <v>0</v>
      </c>
      <c r="D536" s="31">
        <f>IF(ISTEXT((CADOLIVE!P_2_176 CADOLIVE!MT)),0,(CADOLIVE!P_2_176 CADOLIVE!MT))</f>
        <v>0</v>
      </c>
    </row>
    <row r="537" spans="1:4" ht="15">
      <c r="A537" s="30" t="s">
        <v>1082</v>
      </c>
      <c r="B537" s="53">
        <f>IF(ISTEXT((CADOLIVE!P_2_177 CADOLIVE!Qté)),0,(CADOLIVE!P_2_177 CADOLIVE!Qté))</f>
        <v>0</v>
      </c>
      <c r="C537" s="31">
        <f>(CADOLIVE!P_2_177 CADOLIVE!PU)</f>
        <v>0</v>
      </c>
      <c r="D537" s="31">
        <f>IF(ISTEXT((CADOLIVE!P_2_177 CADOLIVE!MT)),0,(CADOLIVE!P_2_177 CADOLIVE!MT))</f>
        <v>0</v>
      </c>
    </row>
    <row r="538" spans="1:4" ht="15">
      <c r="A538" s="30" t="s">
        <v>1083</v>
      </c>
      <c r="B538" s="53">
        <f>IF(ISTEXT((CADOLIVE!P_2_178 CADOLIVE!Qté)),0,(CADOLIVE!P_2_178 CADOLIVE!Qté))</f>
        <v>0</v>
      </c>
      <c r="C538" s="31">
        <f>(CADOLIVE!P_2_178 CADOLIVE!PU)</f>
        <v>0</v>
      </c>
      <c r="D538" s="31">
        <f>IF(ISTEXT((CADOLIVE!P_2_178 CADOLIVE!MT)),0,(CADOLIVE!P_2_178 CADOLIVE!MT))</f>
        <v>0</v>
      </c>
    </row>
    <row r="539" spans="1:4" ht="15">
      <c r="A539" s="30" t="s">
        <v>1084</v>
      </c>
      <c r="B539" s="53">
        <f>IF(ISTEXT((CADOLIVE!P_2_179 CADOLIVE!Qté)),0,(CADOLIVE!P_2_179 CADOLIVE!Qté))</f>
        <v>0</v>
      </c>
      <c r="C539" s="31">
        <f>(CADOLIVE!P_2_179 CADOLIVE!PU)</f>
        <v>0</v>
      </c>
      <c r="D539" s="31">
        <f>IF(ISTEXT((CADOLIVE!P_2_179 CADOLIVE!MT)),0,(CADOLIVE!P_2_179 CADOLIVE!MT))</f>
        <v>0</v>
      </c>
    </row>
    <row r="540" spans="1:4" ht="15">
      <c r="A540" s="30" t="s">
        <v>1085</v>
      </c>
      <c r="B540" s="53">
        <f>IF(ISTEXT((CADOLIVE!P_2_180 CADOLIVE!Qté)),0,(CADOLIVE!P_2_180 CADOLIVE!Qté))</f>
        <v>0</v>
      </c>
      <c r="C540" s="31">
        <f>(CADOLIVE!P_2_180 CADOLIVE!PU)</f>
        <v>0</v>
      </c>
      <c r="D540" s="31">
        <f>IF(ISTEXT((CADOLIVE!P_2_180 CADOLIVE!MT)),0,(CADOLIVE!P_2_180 CADOLIVE!MT))</f>
        <v>0</v>
      </c>
    </row>
    <row r="541" spans="1:4" ht="15">
      <c r="A541" s="30" t="s">
        <v>1086</v>
      </c>
      <c r="B541" s="53">
        <f>IF(ISTEXT((CADOLIVE!P_2_181 CADOLIVE!Qté)),0,(CADOLIVE!P_2_181 CADOLIVE!Qté))</f>
        <v>0</v>
      </c>
      <c r="C541" s="31">
        <f>(CADOLIVE!P_2_181 CADOLIVE!PU)</f>
        <v>0</v>
      </c>
      <c r="D541" s="31">
        <f>IF(ISTEXT((CADOLIVE!P_2_181 CADOLIVE!MT)),0,(CADOLIVE!P_2_181 CADOLIVE!MT))</f>
        <v>0</v>
      </c>
    </row>
    <row r="542" spans="1:4" ht="15">
      <c r="A542" s="30" t="s">
        <v>1087</v>
      </c>
      <c r="B542" s="53">
        <f>IF(ISTEXT((CADOLIVE!P_2_182 CADOLIVE!Qté)),0,(CADOLIVE!P_2_182 CADOLIVE!Qté))</f>
        <v>0</v>
      </c>
      <c r="C542" s="31">
        <f>(CADOLIVE!P_2_182 CADOLIVE!PU)</f>
        <v>0</v>
      </c>
      <c r="D542" s="31">
        <f>IF(ISTEXT((CADOLIVE!P_2_182 CADOLIVE!MT)),0,(CADOLIVE!P_2_182 CADOLIVE!MT))</f>
        <v>0</v>
      </c>
    </row>
    <row r="543" spans="1:4" ht="15">
      <c r="A543" s="30" t="s">
        <v>1088</v>
      </c>
      <c r="B543" s="53">
        <f>IF(ISTEXT((CADOLIVE!P_2_183 CADOLIVE!Qté)),0,(CADOLIVE!P_2_183 CADOLIVE!Qté))</f>
        <v>0</v>
      </c>
      <c r="C543" s="31">
        <f>(CADOLIVE!P_2_183 CADOLIVE!PU)</f>
        <v>0</v>
      </c>
      <c r="D543" s="31">
        <f>IF(ISTEXT((CADOLIVE!P_2_183 CADOLIVE!MT)),0,(CADOLIVE!P_2_183 CADOLIVE!MT))</f>
        <v>0</v>
      </c>
    </row>
    <row r="544" spans="1:4" ht="15">
      <c r="A544" s="30" t="s">
        <v>1089</v>
      </c>
      <c r="B544" s="53">
        <f>IF(ISTEXT((CADOLIVE!P_2_184 CADOLIVE!Qté)),0,(CADOLIVE!P_2_184 CADOLIVE!Qté))</f>
        <v>0</v>
      </c>
      <c r="C544" s="31">
        <f>(CADOLIVE!P_2_184 CADOLIVE!PU)</f>
        <v>0</v>
      </c>
      <c r="D544" s="31">
        <f>IF(ISTEXT((CADOLIVE!P_2_184 CADOLIVE!MT)),0,(CADOLIVE!P_2_184 CADOLIVE!MT))</f>
        <v>0</v>
      </c>
    </row>
    <row r="545" spans="1:4" ht="15">
      <c r="A545" s="30" t="s">
        <v>1090</v>
      </c>
      <c r="B545" s="53">
        <f>IF(ISTEXT((CADOLIVE!P_2_185 CADOLIVE!Qté)),0,(CADOLIVE!P_2_185 CADOLIVE!Qté))</f>
        <v>0</v>
      </c>
      <c r="C545" s="31">
        <f>(CADOLIVE!P_2_185 CADOLIVE!PU)</f>
        <v>0</v>
      </c>
      <c r="D545" s="31">
        <f>IF(ISTEXT((CADOLIVE!P_2_185 CADOLIVE!MT)),0,(CADOLIVE!P_2_185 CADOLIVE!MT))</f>
        <v>0</v>
      </c>
    </row>
    <row r="546" spans="1:4" ht="15">
      <c r="A546" s="30" t="s">
        <v>1091</v>
      </c>
      <c r="B546" s="53">
        <f>IF(ISTEXT((CADOLIVE!P_2_186 CADOLIVE!Qté)),0,(CADOLIVE!P_2_186 CADOLIVE!Qté))</f>
        <v>0</v>
      </c>
      <c r="C546" s="31">
        <f>(CADOLIVE!P_2_186 CADOLIVE!PU)</f>
        <v>0</v>
      </c>
      <c r="D546" s="31">
        <f>IF(ISTEXT((CADOLIVE!P_2_186 CADOLIVE!MT)),0,(CADOLIVE!P_2_186 CADOLIVE!MT))</f>
        <v>0</v>
      </c>
    </row>
    <row r="547" spans="1:4" ht="15">
      <c r="A547" s="30" t="s">
        <v>1092</v>
      </c>
      <c r="B547" s="53">
        <f>IF(ISTEXT((CADOLIVE!P_2_187 CADOLIVE!Qté)),0,(CADOLIVE!P_2_187 CADOLIVE!Qté))</f>
        <v>0</v>
      </c>
      <c r="C547" s="31">
        <f>(CADOLIVE!P_2_187 CADOLIVE!PU)</f>
        <v>0</v>
      </c>
      <c r="D547" s="31">
        <f>IF(ISTEXT((CADOLIVE!P_2_187 CADOLIVE!MT)),0,(CADOLIVE!P_2_187 CADOLIVE!MT))</f>
        <v>0</v>
      </c>
    </row>
    <row r="548" spans="1:4" ht="15">
      <c r="A548" s="30" t="s">
        <v>1093</v>
      </c>
      <c r="B548" s="53">
        <f>IF(ISTEXT((CADOLIVE!P_2_188 CADOLIVE!Qté)),0,(CADOLIVE!P_2_188 CADOLIVE!Qté))</f>
        <v>0</v>
      </c>
      <c r="C548" s="31">
        <f>(CADOLIVE!P_2_188 CADOLIVE!PU)</f>
        <v>0</v>
      </c>
      <c r="D548" s="31">
        <f>IF(ISTEXT((CADOLIVE!P_2_188 CADOLIVE!MT)),0,(CADOLIVE!P_2_188 CADOLIVE!MT))</f>
        <v>0</v>
      </c>
    </row>
    <row r="549" spans="1:4" ht="15">
      <c r="A549" s="30" t="s">
        <v>1094</v>
      </c>
      <c r="B549" s="53">
        <f>IF(ISTEXT((CADOLIVE!P_2_189 CADOLIVE!Qté)),0,(CADOLIVE!P_2_189 CADOLIVE!Qté))</f>
        <v>0</v>
      </c>
      <c r="C549" s="31">
        <f>(CADOLIVE!P_2_189 CADOLIVE!PU)</f>
        <v>0</v>
      </c>
      <c r="D549" s="31">
        <f>IF(ISTEXT((CADOLIVE!P_2_189 CADOLIVE!MT)),0,(CADOLIVE!P_2_189 CADOLIVE!MT))</f>
        <v>0</v>
      </c>
    </row>
    <row r="550" spans="1:4" ht="15">
      <c r="A550" s="30" t="s">
        <v>1095</v>
      </c>
      <c r="B550" s="53">
        <f>IF(ISTEXT((CADOLIVE!P_2_190 CADOLIVE!Qté)),0,(CADOLIVE!P_2_190 CADOLIVE!Qté))</f>
        <v>0</v>
      </c>
      <c r="C550" s="31">
        <f>(CADOLIVE!P_2_190 CADOLIVE!PU)</f>
        <v>0</v>
      </c>
      <c r="D550" s="31">
        <f>IF(ISTEXT((CADOLIVE!P_2_190 CADOLIVE!MT)),0,(CADOLIVE!P_2_190 CADOLIVE!MT))</f>
        <v>0</v>
      </c>
    </row>
    <row r="551" spans="1:4" ht="15">
      <c r="A551" s="30" t="s">
        <v>1096</v>
      </c>
      <c r="B551" s="53">
        <f>IF(ISTEXT((CADOLIVE!P_2_191 CADOLIVE!Qté)),0,(CADOLIVE!P_2_191 CADOLIVE!Qté))</f>
        <v>0</v>
      </c>
      <c r="C551" s="31">
        <f>(CADOLIVE!P_2_191 CADOLIVE!PU)</f>
        <v>0</v>
      </c>
      <c r="D551" s="31">
        <f>IF(ISTEXT((CADOLIVE!P_2_191 CADOLIVE!MT)),0,(CADOLIVE!P_2_191 CADOLIVE!MT))</f>
        <v>0</v>
      </c>
    </row>
    <row r="552" spans="1:4" ht="15">
      <c r="A552" s="30" t="s">
        <v>1097</v>
      </c>
      <c r="B552" s="53">
        <f>IF(ISTEXT((CADOLIVE!P_2_192 CADOLIVE!Qté)),0,(CADOLIVE!P_2_192 CADOLIVE!Qté))</f>
        <v>0</v>
      </c>
      <c r="C552" s="31">
        <f>(CADOLIVE!P_2_192 CADOLIVE!PU)</f>
        <v>0</v>
      </c>
      <c r="D552" s="31">
        <f>IF(ISTEXT((CADOLIVE!P_2_192 CADOLIVE!MT)),0,(CADOLIVE!P_2_192 CADOLIVE!MT))</f>
        <v>0</v>
      </c>
    </row>
    <row r="553" spans="1:4" ht="15">
      <c r="A553" s="30" t="s">
        <v>1098</v>
      </c>
      <c r="B553" s="53">
        <f>IF(ISTEXT((CADOLIVE!P_2_193 CADOLIVE!Qté)),0,(CADOLIVE!P_2_193 CADOLIVE!Qté))</f>
        <v>0</v>
      </c>
      <c r="C553" s="31">
        <f>(CADOLIVE!P_2_193 CADOLIVE!PU)</f>
        <v>0</v>
      </c>
      <c r="D553" s="31">
        <f>IF(ISTEXT((CADOLIVE!P_2_193 CADOLIVE!MT)),0,(CADOLIVE!P_2_193 CADOLIVE!MT))</f>
        <v>0</v>
      </c>
    </row>
    <row r="554" spans="1:4" ht="15">
      <c r="A554" s="30" t="s">
        <v>1099</v>
      </c>
      <c r="B554" s="53">
        <f>IF(ISTEXT((CADOLIVE!P_2_194 CADOLIVE!Qté)),0,(CADOLIVE!P_2_194 CADOLIVE!Qté))</f>
        <v>0</v>
      </c>
      <c r="C554" s="31">
        <f>(CADOLIVE!P_2_194 CADOLIVE!PU)</f>
        <v>0</v>
      </c>
      <c r="D554" s="31">
        <f>IF(ISTEXT((CADOLIVE!P_2_194 CADOLIVE!MT)),0,(CADOLIVE!P_2_194 CADOLIVE!MT))</f>
        <v>0</v>
      </c>
    </row>
    <row r="555" spans="1:4" ht="15">
      <c r="A555" s="30" t="s">
        <v>1100</v>
      </c>
      <c r="B555" s="53">
        <f>IF(ISTEXT((CADOLIVE!P_2_195 CADOLIVE!Qté)),0,(CADOLIVE!P_2_195 CADOLIVE!Qté))</f>
        <v>0</v>
      </c>
      <c r="C555" s="31">
        <f>(CADOLIVE!P_2_195 CADOLIVE!PU)</f>
        <v>0</v>
      </c>
      <c r="D555" s="31">
        <f>IF(ISTEXT((CADOLIVE!P_2_195 CADOLIVE!MT)),0,(CADOLIVE!P_2_195 CADOLIVE!MT))</f>
        <v>0</v>
      </c>
    </row>
    <row r="556" spans="1:4" ht="15">
      <c r="A556" s="30" t="s">
        <v>1101</v>
      </c>
      <c r="B556" s="53">
        <f>IF(ISTEXT((CADOLIVE!P_2_196 CADOLIVE!Qté)),0,(CADOLIVE!P_2_196 CADOLIVE!Qté))</f>
        <v>0</v>
      </c>
      <c r="C556" s="31">
        <f>(CADOLIVE!P_2_196 CADOLIVE!PU)</f>
        <v>0</v>
      </c>
      <c r="D556" s="31">
        <f>IF(ISTEXT((CADOLIVE!P_2_196 CADOLIVE!MT)),0,(CADOLIVE!P_2_196 CADOLIVE!MT))</f>
        <v>0</v>
      </c>
    </row>
    <row r="557" spans="1:4" ht="15">
      <c r="A557" s="30" t="s">
        <v>1102</v>
      </c>
      <c r="B557" s="53">
        <f>IF(ISTEXT((CADOLIVE!P_2_197 CADOLIVE!Qté)),0,(CADOLIVE!P_2_197 CADOLIVE!Qté))</f>
        <v>0</v>
      </c>
      <c r="C557" s="31">
        <f>(CADOLIVE!P_2_197 CADOLIVE!PU)</f>
        <v>0</v>
      </c>
      <c r="D557" s="31">
        <f>IF(ISTEXT((CADOLIVE!P_2_197 CADOLIVE!MT)),0,(CADOLIVE!P_2_197 CADOLIVE!MT))</f>
        <v>0</v>
      </c>
    </row>
    <row r="558" spans="1:4" ht="15">
      <c r="A558" s="30" t="s">
        <v>1103</v>
      </c>
      <c r="B558" s="53">
        <f>IF(ISTEXT((CADOLIVE!P_2_198 CADOLIVE!Qté)),0,(CADOLIVE!P_2_198 CADOLIVE!Qté))</f>
        <v>0</v>
      </c>
      <c r="C558" s="31">
        <f>(CADOLIVE!P_2_198 CADOLIVE!PU)</f>
        <v>0</v>
      </c>
      <c r="D558" s="31">
        <f>IF(ISTEXT((CADOLIVE!P_2_198 CADOLIVE!MT)),0,(CADOLIVE!P_2_198 CADOLIVE!MT))</f>
        <v>0</v>
      </c>
    </row>
    <row r="559" spans="1:4" ht="15">
      <c r="A559" s="30" t="s">
        <v>1104</v>
      </c>
      <c r="B559" s="53">
        <f>IF(ISTEXT((CADOLIVE!P_2_199 CADOLIVE!Qté)),0,(CADOLIVE!P_2_199 CADOLIVE!Qté))</f>
        <v>0</v>
      </c>
      <c r="C559" s="31">
        <f>(CADOLIVE!P_2_199 CADOLIVE!PU)</f>
        <v>0</v>
      </c>
      <c r="D559" s="31">
        <f>IF(ISTEXT((CADOLIVE!P_2_199 CADOLIVE!MT)),0,(CADOLIVE!P_2_199 CADOLIVE!MT))</f>
        <v>0</v>
      </c>
    </row>
    <row r="560" spans="1:4" ht="15">
      <c r="A560" s="30" t="s">
        <v>1105</v>
      </c>
      <c r="B560" s="53">
        <f>IF(ISTEXT((CADOLIVE!P_2_200 CADOLIVE!Qté)),0,(CADOLIVE!P_2_200 CADOLIVE!Qté))</f>
        <v>0</v>
      </c>
      <c r="C560" s="31">
        <f>(CADOLIVE!P_2_200 CADOLIVE!PU)</f>
        <v>0</v>
      </c>
      <c r="D560" s="31">
        <f>IF(ISTEXT((CADOLIVE!P_2_200 CADOLIVE!MT)),0,(CADOLIVE!P_2_200 CADOLIVE!MT))</f>
        <v>0</v>
      </c>
    </row>
    <row r="561" spans="1:4" ht="15">
      <c r="A561" s="30" t="s">
        <v>1106</v>
      </c>
      <c r="B561" s="53">
        <f>IF(ISTEXT((CADOLIVE!P_2_201 CADOLIVE!Qté)),0,(CADOLIVE!P_2_201 CADOLIVE!Qté))</f>
        <v>0</v>
      </c>
      <c r="C561" s="31">
        <f>(CADOLIVE!P_2_201 CADOLIVE!PU)</f>
        <v>0</v>
      </c>
      <c r="D561" s="31">
        <f>IF(ISTEXT((CADOLIVE!P_2_201 CADOLIVE!MT)),0,(CADOLIVE!P_2_201 CADOLIVE!MT))</f>
        <v>0</v>
      </c>
    </row>
    <row r="562" spans="1:4" ht="15">
      <c r="A562" s="30" t="s">
        <v>1107</v>
      </c>
      <c r="B562" s="53">
        <f>IF(ISTEXT((CADOLIVE!P_2_202 CADOLIVE!Qté)),0,(CADOLIVE!P_2_202 CADOLIVE!Qté))</f>
        <v>0</v>
      </c>
      <c r="C562" s="31">
        <f>(CADOLIVE!P_2_202 CADOLIVE!PU)</f>
        <v>0</v>
      </c>
      <c r="D562" s="31">
        <f>IF(ISTEXT((CADOLIVE!P_2_202 CADOLIVE!MT)),0,(CADOLIVE!P_2_202 CADOLIVE!MT))</f>
        <v>0</v>
      </c>
    </row>
    <row r="563" spans="1:4" ht="15">
      <c r="A563" s="30" t="s">
        <v>1108</v>
      </c>
      <c r="B563" s="53">
        <f>IF(ISTEXT((CADOLIVE!P_2_203 CADOLIVE!Qté)),0,(CADOLIVE!P_2_203 CADOLIVE!Qté))</f>
        <v>0</v>
      </c>
      <c r="C563" s="31">
        <f>(CADOLIVE!P_2_203 CADOLIVE!PU)</f>
        <v>0</v>
      </c>
      <c r="D563" s="31">
        <f>IF(ISTEXT((CADOLIVE!P_2_203 CADOLIVE!MT)),0,(CADOLIVE!P_2_203 CADOLIVE!MT))</f>
        <v>0</v>
      </c>
    </row>
    <row r="564" spans="1:4" ht="15">
      <c r="A564" s="30" t="s">
        <v>1109</v>
      </c>
      <c r="B564" s="53">
        <f>IF(ISTEXT((CADOLIVE!P_2_204 CADOLIVE!Qté)),0,(CADOLIVE!P_2_204 CADOLIVE!Qté))</f>
        <v>0</v>
      </c>
      <c r="C564" s="31">
        <f>(CADOLIVE!P_2_204 CADOLIVE!PU)</f>
        <v>0</v>
      </c>
      <c r="D564" s="31">
        <f>IF(ISTEXT((CADOLIVE!P_2_204 CADOLIVE!MT)),0,(CADOLIVE!P_2_204 CADOLIVE!MT))</f>
        <v>0</v>
      </c>
    </row>
    <row r="565" spans="1:4" ht="15">
      <c r="A565" s="30" t="s">
        <v>1110</v>
      </c>
      <c r="B565" s="53">
        <f>IF(ISTEXT((CADOLIVE!P_2_205 CADOLIVE!Qté)),0,(CADOLIVE!P_2_205 CADOLIVE!Qté))</f>
        <v>0</v>
      </c>
      <c r="C565" s="31">
        <f>(CADOLIVE!P_2_205 CADOLIVE!PU)</f>
        <v>0</v>
      </c>
      <c r="D565" s="31">
        <f>IF(ISTEXT((CADOLIVE!P_2_205 CADOLIVE!MT)),0,(CADOLIVE!P_2_205 CADOLIVE!MT))</f>
        <v>0</v>
      </c>
    </row>
    <row r="566" spans="1:4" ht="15">
      <c r="A566" s="30" t="s">
        <v>1111</v>
      </c>
      <c r="B566" s="53">
        <f>IF(ISTEXT((CADOLIVE!P_2_206 CADOLIVE!Qté)),0,(CADOLIVE!P_2_206 CADOLIVE!Qté))</f>
        <v>0</v>
      </c>
      <c r="C566" s="31">
        <f>(CADOLIVE!P_2_206 CADOLIVE!PU)</f>
        <v>0</v>
      </c>
      <c r="D566" s="31">
        <f>IF(ISTEXT((CADOLIVE!P_2_206 CADOLIVE!MT)),0,(CADOLIVE!P_2_206 CADOLIVE!MT))</f>
        <v>0</v>
      </c>
    </row>
    <row r="567" spans="1:4" ht="15">
      <c r="A567" s="30" t="s">
        <v>1112</v>
      </c>
      <c r="B567" s="53">
        <f>IF(ISTEXT((CADOLIVE!P_2_207 CADOLIVE!Qté)),0,(CADOLIVE!P_2_207 CADOLIVE!Qté))</f>
        <v>0</v>
      </c>
      <c r="C567" s="31">
        <f>(CADOLIVE!P_2_207 CADOLIVE!PU)</f>
        <v>0</v>
      </c>
      <c r="D567" s="31">
        <f>IF(ISTEXT((CADOLIVE!P_2_207 CADOLIVE!MT)),0,(CADOLIVE!P_2_207 CADOLIVE!MT))</f>
        <v>0</v>
      </c>
    </row>
    <row r="568" spans="1:4" ht="15">
      <c r="A568" s="30" t="s">
        <v>1113</v>
      </c>
      <c r="B568" s="53">
        <f>IF(ISTEXT((CADOLIVE!P_2_208 CADOLIVE!Qté)),0,(CADOLIVE!P_2_208 CADOLIVE!Qté))</f>
        <v>0</v>
      </c>
      <c r="C568" s="31">
        <f>(CADOLIVE!P_2_208 CADOLIVE!PU)</f>
        <v>0</v>
      </c>
      <c r="D568" s="31">
        <f>IF(ISTEXT((CADOLIVE!P_2_208 CADOLIVE!MT)),0,(CADOLIVE!P_2_208 CADOLIVE!MT))</f>
        <v>0</v>
      </c>
    </row>
    <row r="569" spans="1:4" ht="15">
      <c r="A569" s="30" t="s">
        <v>1114</v>
      </c>
      <c r="B569" s="53">
        <f>IF(ISTEXT((CADOLIVE!P_2_209 CADOLIVE!Qté)),0,(CADOLIVE!P_2_209 CADOLIVE!Qté))</f>
        <v>0</v>
      </c>
      <c r="C569" s="31">
        <f>(CADOLIVE!P_2_209 CADOLIVE!PU)</f>
        <v>0</v>
      </c>
      <c r="D569" s="31">
        <f>IF(ISTEXT((CADOLIVE!P_2_209 CADOLIVE!MT)),0,(CADOLIVE!P_2_209 CADOLIVE!MT))</f>
        <v>0</v>
      </c>
    </row>
    <row r="570" spans="1:4" ht="15">
      <c r="A570" s="30" t="s">
        <v>1115</v>
      </c>
      <c r="B570" s="53">
        <f>IF(ISTEXT((CADOLIVE!P_2_210 CADOLIVE!Qté)),0,(CADOLIVE!P_2_210 CADOLIVE!Qté))</f>
        <v>0</v>
      </c>
      <c r="C570" s="31">
        <f>(CADOLIVE!P_2_210 CADOLIVE!PU)</f>
        <v>0</v>
      </c>
      <c r="D570" s="31">
        <f>IF(ISTEXT((CADOLIVE!P_2_210 CADOLIVE!MT)),0,(CADOLIVE!P_2_210 CADOLIVE!MT))</f>
        <v>0</v>
      </c>
    </row>
    <row r="571" spans="1:4" ht="15">
      <c r="A571" s="30" t="s">
        <v>1116</v>
      </c>
      <c r="B571" s="53">
        <f>IF(ISTEXT((CADOLIVE!P_2_211 CADOLIVE!Qté)),0,(CADOLIVE!P_2_211 CADOLIVE!Qté))</f>
        <v>0</v>
      </c>
      <c r="C571" s="31">
        <f>(CADOLIVE!P_2_211 CADOLIVE!PU)</f>
        <v>0</v>
      </c>
      <c r="D571" s="31">
        <f>IF(ISTEXT((CADOLIVE!P_2_211 CADOLIVE!MT)),0,(CADOLIVE!P_2_211 CADOLIVE!MT))</f>
        <v>0</v>
      </c>
    </row>
    <row r="572" spans="1:4" ht="15">
      <c r="A572" s="30" t="s">
        <v>1117</v>
      </c>
      <c r="B572" s="53">
        <f>IF(ISTEXT((CADOLIVE!P_2_212 CADOLIVE!Qté)),0,(CADOLIVE!P_2_212 CADOLIVE!Qté))</f>
        <v>0</v>
      </c>
      <c r="C572" s="31">
        <f>(CADOLIVE!P_2_212 CADOLIVE!PU)</f>
        <v>0</v>
      </c>
      <c r="D572" s="31">
        <f>IF(ISTEXT((CADOLIVE!P_2_212 CADOLIVE!MT)),0,(CADOLIVE!P_2_212 CADOLIVE!MT))</f>
        <v>0</v>
      </c>
    </row>
    <row r="573" spans="1:4" ht="15">
      <c r="A573" s="30" t="s">
        <v>1118</v>
      </c>
      <c r="B573" s="53">
        <f>IF(ISTEXT((CADOLIVE!P_2_213 CADOLIVE!Qté)),0,(CADOLIVE!P_2_213 CADOLIVE!Qté))</f>
        <v>0</v>
      </c>
      <c r="C573" s="31">
        <f>(CADOLIVE!P_2_213 CADOLIVE!PU)</f>
        <v>0</v>
      </c>
      <c r="D573" s="31">
        <f>IF(ISTEXT((CADOLIVE!P_2_213 CADOLIVE!MT)),0,(CADOLIVE!P_2_213 CADOLIVE!MT))</f>
        <v>0</v>
      </c>
    </row>
    <row r="574" spans="1:4" ht="15">
      <c r="A574" s="30" t="s">
        <v>1119</v>
      </c>
      <c r="B574" s="53">
        <f>IF(ISTEXT((CADOLIVE!P_2_214 CADOLIVE!Qté)),0,(CADOLIVE!P_2_214 CADOLIVE!Qté))</f>
        <v>0</v>
      </c>
      <c r="C574" s="31">
        <f>(CADOLIVE!P_2_214 CADOLIVE!PU)</f>
        <v>0</v>
      </c>
      <c r="D574" s="31">
        <f>IF(ISTEXT((CADOLIVE!P_2_214 CADOLIVE!MT)),0,(CADOLIVE!P_2_214 CADOLIVE!MT))</f>
        <v>0</v>
      </c>
    </row>
    <row r="575" spans="1:4" ht="15">
      <c r="A575" s="30" t="s">
        <v>1120</v>
      </c>
      <c r="B575" s="53">
        <f>IF(ISTEXT((CADOLIVE!P_2_215 CADOLIVE!Qté)),0,(CADOLIVE!P_2_215 CADOLIVE!Qté))</f>
        <v>0</v>
      </c>
      <c r="C575" s="31">
        <f>(CADOLIVE!P_2_215 CADOLIVE!PU)</f>
        <v>0</v>
      </c>
      <c r="D575" s="31">
        <f>IF(ISTEXT((CADOLIVE!P_2_215 CADOLIVE!MT)),0,(CADOLIVE!P_2_215 CADOLIVE!MT))</f>
        <v>0</v>
      </c>
    </row>
    <row r="576" spans="1:4" ht="15">
      <c r="A576" s="30" t="s">
        <v>1121</v>
      </c>
      <c r="B576" s="53">
        <f>IF(ISTEXT((CADOLIVE!P_2_216 CADOLIVE!Qté)),0,(CADOLIVE!P_2_216 CADOLIVE!Qté))</f>
        <v>0</v>
      </c>
      <c r="C576" s="31">
        <f>(CADOLIVE!P_2_216 CADOLIVE!PU)</f>
        <v>0</v>
      </c>
      <c r="D576" s="31">
        <f>IF(ISTEXT((CADOLIVE!P_2_216 CADOLIVE!MT)),0,(CADOLIVE!P_2_216 CADOLIVE!MT))</f>
        <v>0</v>
      </c>
    </row>
    <row r="577" spans="1:4" ht="15">
      <c r="A577" s="30" t="s">
        <v>1122</v>
      </c>
      <c r="B577" s="53">
        <f>IF(ISTEXT((CADOLIVE!P_2_217 CADOLIVE!Qté)),0,(CADOLIVE!P_2_217 CADOLIVE!Qté))</f>
        <v>0</v>
      </c>
      <c r="C577" s="31">
        <f>(CADOLIVE!P_2_217 CADOLIVE!PU)</f>
        <v>0</v>
      </c>
      <c r="D577" s="31">
        <f>IF(ISTEXT((CADOLIVE!P_2_217 CADOLIVE!MT)),0,(CADOLIVE!P_2_217 CADOLIVE!MT))</f>
        <v>0</v>
      </c>
    </row>
    <row r="578" spans="1:4" ht="15">
      <c r="A578" s="30" t="s">
        <v>1123</v>
      </c>
      <c r="B578" s="53">
        <f>IF(ISTEXT((CADOLIVE!P_2_218 CADOLIVE!Qté)),0,(CADOLIVE!P_2_218 CADOLIVE!Qté))</f>
        <v>0</v>
      </c>
      <c r="C578" s="31">
        <f>(CADOLIVE!P_2_218 CADOLIVE!PU)</f>
        <v>0</v>
      </c>
      <c r="D578" s="31">
        <f>IF(ISTEXT((CADOLIVE!P_2_218 CADOLIVE!MT)),0,(CADOLIVE!P_2_218 CADOLIVE!MT))</f>
        <v>0</v>
      </c>
    </row>
    <row r="579" spans="1:4" ht="15">
      <c r="A579" s="30" t="s">
        <v>1124</v>
      </c>
      <c r="B579" s="53">
        <f>IF(ISTEXT((CADOLIVE!P_2_219 CADOLIVE!Qté)),0,(CADOLIVE!P_2_219 CADOLIVE!Qté))</f>
        <v>0</v>
      </c>
      <c r="C579" s="31">
        <f>(CADOLIVE!P_2_219 CADOLIVE!PU)</f>
        <v>0</v>
      </c>
      <c r="D579" s="31">
        <f>IF(ISTEXT((CADOLIVE!P_2_219 CADOLIVE!MT)),0,(CADOLIVE!P_2_219 CADOLIVE!MT))</f>
        <v>0</v>
      </c>
    </row>
    <row r="580" spans="1:4" ht="15">
      <c r="A580" s="30" t="s">
        <v>1125</v>
      </c>
      <c r="B580" s="53">
        <f>IF(ISTEXT((CADOLIVE!P_2_220 CADOLIVE!Qté)),0,(CADOLIVE!P_2_220 CADOLIVE!Qté))</f>
        <v>0</v>
      </c>
      <c r="C580" s="31">
        <f>(CADOLIVE!P_2_220 CADOLIVE!PU)</f>
        <v>0</v>
      </c>
      <c r="D580" s="31">
        <f>IF(ISTEXT((CADOLIVE!P_2_220 CADOLIVE!MT)),0,(CADOLIVE!P_2_220 CADOLIVE!MT))</f>
        <v>0</v>
      </c>
    </row>
    <row r="581" spans="1:4" ht="15">
      <c r="A581" s="30" t="s">
        <v>1126</v>
      </c>
      <c r="B581" s="53">
        <f>IF(ISTEXT((CADOLIVE!P_2_221 CADOLIVE!Qté)),0,(CADOLIVE!P_2_221 CADOLIVE!Qté))</f>
        <v>0</v>
      </c>
      <c r="C581" s="31">
        <f>(CADOLIVE!P_2_221 CADOLIVE!PU)</f>
        <v>0</v>
      </c>
      <c r="D581" s="31">
        <f>IF(ISTEXT((CADOLIVE!P_2_221 CADOLIVE!MT)),0,(CADOLIVE!P_2_221 CADOLIVE!MT))</f>
        <v>0</v>
      </c>
    </row>
    <row r="582" spans="1:4" ht="15">
      <c r="A582" s="30" t="s">
        <v>1388</v>
      </c>
      <c r="B582" s="53">
        <f>IF(ISTEXT((CADOLIVE!HT_1_HT01 CADOLIVE!Qté)),0,(CADOLIVE!HT_1_HT01 CADOLIVE!Qté))</f>
        <v>0</v>
      </c>
      <c r="C582" s="31">
        <f>(CADOLIVE!HT_1_HT01 CADOLIVE!PU)</f>
        <v>0</v>
      </c>
      <c r="D582" s="31">
        <f>IF(ISTEXT((CADOLIVE!HT_1_HT01 CADOLIVE!MT)),0,(CADOLIVE!HT_1_HT01 CADOLIVE!MT))</f>
        <v>0</v>
      </c>
    </row>
    <row r="583" spans="1:4" ht="15">
      <c r="A583" s="30" t="s">
        <v>1389</v>
      </c>
      <c r="B583" s="53">
        <f>IF(ISTEXT((CADOLIVE!HT_0_HT02 CADOLIVE!Qté)),0,(CADOLIVE!HT_0_HT02 CADOLIVE!Qté))</f>
        <v>0</v>
      </c>
      <c r="C583" s="31">
        <f>(CADOLIVE!HT_0_HT02 CADOLIVE!PU)</f>
        <v>0</v>
      </c>
      <c r="D583" s="31">
        <f>IF(ISTEXT((CADOLIVE!HT_0_HT02 CADOLIVE!MT)),0,(CADOLIVE!HT_0_HT02 CADOLIVE!MT))</f>
        <v>0</v>
      </c>
    </row>
    <row r="584" spans="1:4" ht="15">
      <c r="A584" t="s">
        <v>738</v>
      </c>
      <c r="B584" s="32">
        <f>CADOLIVE!D1649</f>
        <v>0</v>
      </c>
      <c r="C584" s="30">
        <f>CADOLIVE!D1650</f>
        <v>0</v>
      </c>
      <c r="D584">
        <v>0</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manju</dc:creator>
  <cp:keywords/>
  <dc:description/>
  <cp:lastModifiedBy>Laurence Biland</cp:lastModifiedBy>
  <cp:lastPrinted>2015-10-22T14:40:26Z</cp:lastPrinted>
  <dcterms:created xsi:type="dcterms:W3CDTF">2013-08-30T08:06:24Z</dcterms:created>
  <dcterms:modified xsi:type="dcterms:W3CDTF">2015-10-22T14:40:30Z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tapEnCours">
    <vt:i4>6</vt:i4>
  </property>
  <property fmtid="{D5CDD505-2E9C-101B-9397-08002B2CF9AE}" pid="3" name="DatDebT">
    <vt:lpwstr>30/08/2013 15:28:12</vt:lpwstr>
  </property>
  <property fmtid="{D5CDD505-2E9C-101B-9397-08002B2CF9AE}" pid="4" name="NomStd">
    <vt:lpwstr>DESTROUSSE</vt:lpwstr>
  </property>
  <property fmtid="{D5CDD505-2E9C-101B-9397-08002B2CF9AE}" pid="5" name="MT_DET">
    <vt:lpwstr>=Qté_DET*PU_DET</vt:lpwstr>
  </property>
  <property fmtid="{D5CDD505-2E9C-101B-9397-08002B2CF9AE}" pid="6" name="NumDossier">
    <vt:lpwstr>1941913</vt:lpwstr>
  </property>
  <property fmtid="{D5CDD505-2E9C-101B-9397-08002B2CF9AE}" pid="7" name="TVA">
    <vt:lpwstr>0.196</vt:lpwstr>
  </property>
  <property fmtid="{D5CDD505-2E9C-101B-9397-08002B2CF9AE}" pid="8" name="Unit">
    <vt:bool>false</vt:bool>
  </property>
  <property fmtid="{D5CDD505-2E9C-101B-9397-08002B2CF9AE}" pid="9" name="StdVersion">
    <vt:lpwstr>3.7.20</vt:lpwstr>
  </property>
  <property fmtid="{D5CDD505-2E9C-101B-9397-08002B2CF9AE}" pid="10" name="bRecap">
    <vt:bool>false</vt:bool>
  </property>
  <property fmtid="{D5CDD505-2E9C-101B-9397-08002B2CF9AE}" pid="11" name="DET_NbPages">
    <vt:i4>69</vt:i4>
  </property>
  <property fmtid="{D5CDD505-2E9C-101B-9397-08002B2CF9AE}" pid="12" name="DET_NbGarde">
    <vt:i4>0</vt:i4>
  </property>
  <property fmtid="{D5CDD505-2E9C-101B-9397-08002B2CF9AE}" pid="13" name="DET_Orient">
    <vt:lpwstr>portrait</vt:lpwstr>
  </property>
  <property fmtid="{D5CDD505-2E9C-101B-9397-08002B2CF9AE}" pid="14" name="BPX_Orient">
    <vt:lpwstr>portrait</vt:lpwstr>
  </property>
  <property fmtid="{D5CDD505-2E9C-101B-9397-08002B2CF9AE}" pid="15" name="BPX_NbPages">
    <vt:i4>0</vt:i4>
  </property>
  <property fmtid="{D5CDD505-2E9C-101B-9397-08002B2CF9AE}" pid="16" name="BPX_NbGarde">
    <vt:i4>0</vt:i4>
  </property>
  <property fmtid="{D5CDD505-2E9C-101B-9397-08002B2CF9AE}" pid="17" name="BPX_Type">
    <vt:i4>1</vt:i4>
  </property>
  <property fmtid="{D5CDD505-2E9C-101B-9397-08002B2CF9AE}" pid="18" name="DebutDossier">
    <vt:i4>5</vt:i4>
  </property>
  <property fmtid="{D5CDD505-2E9C-101B-9397-08002B2CF9AE}" pid="19" name="cLsiQte">
    <vt:i4>4</vt:i4>
  </property>
  <property fmtid="{D5CDD505-2E9C-101B-9397-08002B2CF9AE}" pid="20" name="cLsiPU">
    <vt:i4>5</vt:i4>
  </property>
  <property fmtid="{D5CDD505-2E9C-101B-9397-08002B2CF9AE}" pid="21" name="Déci">
    <vt:i4>2</vt:i4>
  </property>
  <property fmtid="{D5CDD505-2E9C-101B-9397-08002B2CF9AE}" pid="22" name="DDE">
    <vt:bool>false</vt:bool>
  </property>
  <property fmtid="{D5CDD505-2E9C-101B-9397-08002B2CF9AE}" pid="23" name="Romain">
    <vt:bool>false</vt:bool>
  </property>
  <property fmtid="{D5CDD505-2E9C-101B-9397-08002B2CF9AE}" pid="24" name="RecupCols">
    <vt:lpwstr>-Qté-PU-</vt:lpwstr>
  </property>
  <property fmtid="{D5CDD505-2E9C-101B-9397-08002B2CF9AE}" pid="25" name="TexteCols">
    <vt:lpwstr>-</vt:lpwstr>
  </property>
  <property fmtid="{D5CDD505-2E9C-101B-9397-08002B2CF9AE}" pid="26" name="IsUpdateFiles">
    <vt:bool>true</vt:bool>
  </property>
  <property fmtid="{D5CDD505-2E9C-101B-9397-08002B2CF9AE}" pid="27" name="VisuQtte">
    <vt:lpwstr>Qté</vt:lpwstr>
  </property>
  <property fmtid="{D5CDD505-2E9C-101B-9397-08002B2CF9AE}" pid="28" name="DatFinT">
    <vt:lpwstr>02/09/2013 10:43:05</vt:lpwstr>
  </property>
  <property fmtid="{D5CDD505-2E9C-101B-9397-08002B2CF9AE}" pid="29" name="DateDebT">
    <vt:lpwstr>02/09/2013 10:43:05</vt:lpwstr>
  </property>
  <property fmtid="{D5CDD505-2E9C-101B-9397-08002B2CF9AE}" pid="30" name="DateFinT">
    <vt:lpwstr>02/09/2013 10:43:05</vt:lpwstr>
  </property>
  <property fmtid="{D5CDD505-2E9C-101B-9397-08002B2CF9AE}" pid="31" name="Doublons">
    <vt:bool>false</vt:bool>
  </property>
  <property fmtid="{D5CDD505-2E9C-101B-9397-08002B2CF9AE}" pid="32" name="Liaisons">
    <vt:bool>false</vt:bool>
  </property>
  <property fmtid="{D5CDD505-2E9C-101B-9397-08002B2CF9AE}" pid="33" name="dateMU">
    <vt:lpwstr>1941913|03/09/2013 07:10:10|02/09/2013 09:14:34|02/09/2013 09:16:45|02/09/2013 10:35:51|03/09/2013 08:09:20|02/09/2013 10:42:32</vt:lpwstr>
  </property>
  <property fmtid="{D5CDD505-2E9C-101B-9397-08002B2CF9AE}" pid="34" name="comments">
    <vt:lpwstr>Numéro du dossier : 1941913</vt:lpwstr>
  </property>
  <property fmtid="{D5CDD505-2E9C-101B-9397-08002B2CF9AE}" pid="35" name="MailAgence">
    <vt:lpwstr>aix@edisys.eu</vt:lpwstr>
  </property>
</Properties>
</file>